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trockcap.sharepoint.com/sites/allstaff/Shared Documents/Portfolio/Internet - FB/Model/"/>
    </mc:Choice>
  </mc:AlternateContent>
  <xr:revisionPtr revIDLastSave="292" documentId="8_{197579C3-8600-427D-B3CD-5269F26AE00F}" xr6:coauthVersionLast="47" xr6:coauthVersionMax="47" xr10:uidLastSave="{804980AC-F6EC-4024-8F0C-FCEF8E9CB906}"/>
  <bookViews>
    <workbookView xWindow="28680" yWindow="-120" windowWidth="29040" windowHeight="15840" firstSheet="2" activeTab="2" xr2:uid="{FB076C9B-A834-4E70-8A8D-C7BFE1990CEC}"/>
  </bookViews>
  <sheets>
    <sheet name="__snloffice" sheetId="408" state="veryHidden" r:id="rId1"/>
    <sheet name="_CIQHiddenCacheSheet" sheetId="937" state="veryHidden" r:id="rId2"/>
    <sheet name="Simple Model - Case 1" sheetId="1" r:id="rId3"/>
    <sheet name="Simple Model - Case 2" sheetId="411" r:id="rId4"/>
    <sheet name="Simple Model - Case 3" sheetId="412" r:id="rId5"/>
    <sheet name="LT Revenue Forecast" sheetId="686" r:id="rId6"/>
    <sheet name="Historical Financials" sheetId="2" r:id="rId7"/>
    <sheet name="D&amp;A Model - Case 1" sheetId="551" r:id="rId8"/>
    <sheet name="Outlook Commentary" sheetId="731" r:id="rId9"/>
    <sheet name="D&amp;A Model - Case 2" sheetId="562" r:id="rId10"/>
    <sheet name="D&amp;A Model - Case 3" sheetId="565" r:id="rId11"/>
    <sheet name="Sheet3" sheetId="753" r:id="rId12"/>
    <sheet name="Sheet4" sheetId="832" r:id="rId13"/>
    <sheet name="Chinese Advertiser Impact" sheetId="815" r:id="rId14"/>
  </sheets>
  <externalReferences>
    <externalReference r:id="rId15"/>
    <externalReference r:id="rId16"/>
    <externalReference r:id="rId17"/>
    <externalReference r:id="rId18"/>
  </externalReferences>
  <definedNames>
    <definedName name="__FDS_HYPERLINK_TOGGLE_STATE__" hidden="1">"ON"</definedName>
    <definedName name="_bdm.0FE7C5DC676D4206AC1A6C3AC95FFA5A.edm" hidden="1">'[1]Mobile Music'!$A:$IV</definedName>
    <definedName name="_bdm.149EECDB265A4B439CA7F4074DEE7741.edm" hidden="1">'[2]Mobile search &amp; ads'!$A:$IV</definedName>
    <definedName name="_bdm.3466CC53D4F247A18D3F4EC288EA6EC8.edm" hidden="1">'[1]Operator share'!$A:$IV</definedName>
    <definedName name="_bdm.46A2A83BCD254E11989A262F3F53C291.edm" hidden="1">'[1]Mobile TV &amp; Video'!$A:$IV</definedName>
    <definedName name="_bdm.5939D4790AE74B9493505CD9980F4561.edm" hidden="1">'[1]Mobile SNS'!$A:$IV</definedName>
    <definedName name="_bdm.5BE4AE09F37349BDA9334813DCCCAB3C.edm" hidden="1">'[1]Mobile LBS'!$A:$IV</definedName>
    <definedName name="_bdm.7301403817A04ECFB5C59528FC085F5B.edm" hidden="1">'[1]Mobile data apps'!$A:$IV</definedName>
    <definedName name="_bdm.7E482E3890A9461E9B82016C1EE19FCC.edm" hidden="1">'[1]Mobile enterprise'!$A:$IV</definedName>
    <definedName name="_bdm.94348BAD6E434530BE25276A507603ED.edm" hidden="1">'[1]Mobile gaming'!$A:$IV</definedName>
    <definedName name="_bdm.9931A6EC2CD64620B716FDD91C7E1F0B.edm" hidden="1">'[1]Converged devices'!$A:$IV</definedName>
    <definedName name="_Order1" hidden="1">255</definedName>
    <definedName name="_Regression_Int" hidden="1">1</definedName>
    <definedName name="_Table1_Out" localSheetId="7" hidden="1">#REF!</definedName>
    <definedName name="_Table1_Out" localSheetId="9" hidden="1">#REF!</definedName>
    <definedName name="_Table1_Out" localSheetId="10" hidden="1">#REF!</definedName>
    <definedName name="_Table1_Out" localSheetId="8" hidden="1">#REF!</definedName>
    <definedName name="_Table1_Out" hidden="1">#REF!</definedName>
    <definedName name="_Table2_Out" hidden="1">#REF!</definedName>
    <definedName name="_table2_out1" hidden="1">'[3]#REF'!$C$11:$I$22</definedName>
    <definedName name="AB"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AB"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AB"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AB"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AB"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AB" hidden="1">{TRUE,TRUE,-1.25,-15.5,456.75,279.75,FALSE,FALSE,TRUE,TRUE,0,1,21,1,127,6,3,4,TRUE,TRUE,3,TRUE,1,TRUE,100,"Swvu.profits.","ACwvu.profits.",1,FALSE,FALSE,0.511811023622047,0.511811023622047,0.511811023622047,0.511811023622047,1,"","",FALSE,FALSE,FALSE,FALSE,1,#N/A,1,1,#DIV/0!,FALSE,"Rwvu.profits.",#N/A,FALSE,FALSE}</definedName>
    <definedName name="adf" localSheetId="13" hidden="1">{"Page1",#N/A,FALSE,"CompCo";"Page2",#N/A,FALSE,"CompCo"}</definedName>
    <definedName name="adf" localSheetId="7" hidden="1">{"Page1",#N/A,FALSE,"CompCo";"Page2",#N/A,FALSE,"CompCo"}</definedName>
    <definedName name="adf" localSheetId="9" hidden="1">{"Page1",#N/A,FALSE,"CompCo";"Page2",#N/A,FALSE,"CompCo"}</definedName>
    <definedName name="adf" localSheetId="10" hidden="1">{"Page1",#N/A,FALSE,"CompCo";"Page2",#N/A,FALSE,"CompCo"}</definedName>
    <definedName name="adf" localSheetId="8" hidden="1">{"Page1",#N/A,FALSE,"CompCo";"Page2",#N/A,FALSE,"CompCo"}</definedName>
    <definedName name="adf" hidden="1">{"Page1",#N/A,FALSE,"CompCo";"Page2",#N/A,FALSE,"CompCo"}</definedName>
    <definedName name="adfauui" localSheetId="13" hidden="1">{"Page1",#N/A,FALSE,"CompCo";"Page2",#N/A,FALSE,"CompCo"}</definedName>
    <definedName name="adfauui" localSheetId="7" hidden="1">{"Page1",#N/A,FALSE,"CompCo";"Page2",#N/A,FALSE,"CompCo"}</definedName>
    <definedName name="adfauui" localSheetId="9" hidden="1">{"Page1",#N/A,FALSE,"CompCo";"Page2",#N/A,FALSE,"CompCo"}</definedName>
    <definedName name="adfauui" localSheetId="10" hidden="1">{"Page1",#N/A,FALSE,"CompCo";"Page2",#N/A,FALSE,"CompCo"}</definedName>
    <definedName name="adfauui" localSheetId="8" hidden="1">{"Page1",#N/A,FALSE,"CompCo";"Page2",#N/A,FALSE,"CompCo"}</definedName>
    <definedName name="adfauui" hidden="1">{"Page1",#N/A,FALSE,"CompCo";"Page2",#N/A,FALSE,"CompCo"}</definedName>
    <definedName name="adfda" localSheetId="13" hidden="1">{#N/A,#N/A,FALSE,"Aging Summary";#N/A,#N/A,FALSE,"Ratio Analysis";#N/A,#N/A,FALSE,"Test 120 Day Accts";#N/A,#N/A,FALSE,"Tickmarks"}</definedName>
    <definedName name="adfda" localSheetId="7" hidden="1">{#N/A,#N/A,FALSE,"Aging Summary";#N/A,#N/A,FALSE,"Ratio Analysis";#N/A,#N/A,FALSE,"Test 120 Day Accts";#N/A,#N/A,FALSE,"Tickmarks"}</definedName>
    <definedName name="adfda" localSheetId="9" hidden="1">{#N/A,#N/A,FALSE,"Aging Summary";#N/A,#N/A,FALSE,"Ratio Analysis";#N/A,#N/A,FALSE,"Test 120 Day Accts";#N/A,#N/A,FALSE,"Tickmarks"}</definedName>
    <definedName name="adfda" localSheetId="10" hidden="1">{#N/A,#N/A,FALSE,"Aging Summary";#N/A,#N/A,FALSE,"Ratio Analysis";#N/A,#N/A,FALSE,"Test 120 Day Accts";#N/A,#N/A,FALSE,"Tickmarks"}</definedName>
    <definedName name="adfda" localSheetId="8" hidden="1">{#N/A,#N/A,FALSE,"Aging Summary";#N/A,#N/A,FALSE,"Ratio Analysis";#N/A,#N/A,FALSE,"Test 120 Day Accts";#N/A,#N/A,FALSE,"Tickmarks"}</definedName>
    <definedName name="adfda" hidden="1">{#N/A,#N/A,FALSE,"Aging Summary";#N/A,#N/A,FALSE,"Ratio Analysis";#N/A,#N/A,FALSE,"Test 120 Day Accts";#N/A,#N/A,FALSE,"Tickmarks"}</definedName>
    <definedName name="adfda2" localSheetId="13" hidden="1">{#N/A,#N/A,FALSE,"Aging Summary";#N/A,#N/A,FALSE,"Ratio Analysis";#N/A,#N/A,FALSE,"Test 120 Day Accts";#N/A,#N/A,FALSE,"Tickmarks"}</definedName>
    <definedName name="adfda2" localSheetId="7" hidden="1">{#N/A,#N/A,FALSE,"Aging Summary";#N/A,#N/A,FALSE,"Ratio Analysis";#N/A,#N/A,FALSE,"Test 120 Day Accts";#N/A,#N/A,FALSE,"Tickmarks"}</definedName>
    <definedName name="adfda2" localSheetId="9" hidden="1">{#N/A,#N/A,FALSE,"Aging Summary";#N/A,#N/A,FALSE,"Ratio Analysis";#N/A,#N/A,FALSE,"Test 120 Day Accts";#N/A,#N/A,FALSE,"Tickmarks"}</definedName>
    <definedName name="adfda2" localSheetId="10" hidden="1">{#N/A,#N/A,FALSE,"Aging Summary";#N/A,#N/A,FALSE,"Ratio Analysis";#N/A,#N/A,FALSE,"Test 120 Day Accts";#N/A,#N/A,FALSE,"Tickmarks"}</definedName>
    <definedName name="adfda2" localSheetId="8" hidden="1">{#N/A,#N/A,FALSE,"Aging Summary";#N/A,#N/A,FALSE,"Ratio Analysis";#N/A,#N/A,FALSE,"Test 120 Day Accts";#N/A,#N/A,FALSE,"Tickmarks"}</definedName>
    <definedName name="adfda2" hidden="1">{#N/A,#N/A,FALSE,"Aging Summary";#N/A,#N/A,FALSE,"Ratio Analysis";#N/A,#N/A,FALSE,"Test 120 Day Accts";#N/A,#N/A,FALSE,"Tickmarks"}</definedName>
    <definedName name="adsf"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adsf"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adsf"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adsf"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adsf"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adsf" hidden="1">{TRUE,TRUE,-1.25,-15.5,456.75,279.75,FALSE,FALSE,TRUE,TRUE,0,1,21,1,127,6,3,4,TRUE,TRUE,3,TRUE,1,TRUE,100,"Swvu.profits.","ACwvu.profits.",1,FALSE,FALSE,0.511811023622047,0.511811023622047,0.511811023622047,0.511811023622047,1,"","",FALSE,FALSE,FALSE,FALSE,1,#N/A,1,1,#DIV/0!,FALSE,"Rwvu.profits.",#N/A,FALSE,FALSE}</definedName>
    <definedName name="AS2DocOpenMode" hidden="1">"AS2DocumentEdit"</definedName>
    <definedName name="asdf"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asdf"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asdf"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asdf"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asdf"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asdf" hidden="1">{TRUE,TRUE,-1.25,-15.5,456.75,279.75,FALSE,FALSE,TRUE,TRUE,0,1,8,1,4,6,3,4,TRUE,TRUE,3,TRUE,1,TRUE,100,"Swvu.turnover.","ACwvu.turnover.",1,FALSE,FALSE,0.511811023622047,0.511811023622047,0.511811023622047,0.511811023622047,1,"","",FALSE,FALSE,FALSE,FALSE,1,#N/A,1,1,#DIV/0!,FALSE,"Rwvu.turnover.",#N/A,FALSE,FALSE}</definedName>
    <definedName name="boring" localSheetId="13" hidden="1">{"Page1",#N/A,FALSE,"CompCo";"Page2",#N/A,FALSE,"CompCo"}</definedName>
    <definedName name="boring" localSheetId="7" hidden="1">{"Page1",#N/A,FALSE,"CompCo";"Page2",#N/A,FALSE,"CompCo"}</definedName>
    <definedName name="boring" localSheetId="9" hidden="1">{"Page1",#N/A,FALSE,"CompCo";"Page2",#N/A,FALSE,"CompCo"}</definedName>
    <definedName name="boring" localSheetId="10" hidden="1">{"Page1",#N/A,FALSE,"CompCo";"Page2",#N/A,FALSE,"CompCo"}</definedName>
    <definedName name="boring" localSheetId="8" hidden="1">{"Page1",#N/A,FALSE,"CompCo";"Page2",#N/A,FALSE,"CompCo"}</definedName>
    <definedName name="boring" hidden="1">{"Page1",#N/A,FALSE,"CompCo";"Page2",#N/A,FALSE,"CompCo"}</definedName>
    <definedName name="cb_sChart16EBA7BA_opts" hidden="1">"1, 1, 1, False, 2, True, False, , 0, False, True, 1, 2"</definedName>
    <definedName name="cb_sChart1AC0211C_opts" hidden="1">"1, 1, 1, False, 2, False, False, , 0, False, False, 2, 2"</definedName>
    <definedName name="cb_sChart1AC021B3_opts" hidden="1">"1, 1, 1, False, 2, False, False, , 0, False, False, 2, 2"</definedName>
    <definedName name="cb_sChart1AC02226_opts" hidden="1">"1, 1, 1, False, 2, False, False, , 0, False, False, 2, 2"</definedName>
    <definedName name="cb_sChart1AC02446_opts" hidden="1">"1, 1, 1, False, 2, True, False, , 0, False, True, 2, 2"</definedName>
    <definedName name="cb_sChart1AC02765_opts" hidden="1">"1, 1, 1, False, 2, True, False, , 0, False, True, 2, 2"</definedName>
    <definedName name="cb_sChart1AC027D9_opts" hidden="1">"1, 1, 1, False, 2, True, False, , 0, False, True, 2, 2"</definedName>
    <definedName name="CIQWBGuid" hidden="1">"286d02d3-0373-46d7-b499-902c31a25a5c"</definedName>
    <definedName name="CIQWBInfo" hidden="1">"{ ""CIQVersion"":""9.49.2423.4439"" }"</definedName>
    <definedName name="Compco1" localSheetId="13" hidden="1">{"Page1",#N/A,FALSE,"CompCo";"Page2",#N/A,FALSE,"CompCo"}</definedName>
    <definedName name="Compco1" localSheetId="7" hidden="1">{"Page1",#N/A,FALSE,"CompCo";"Page2",#N/A,FALSE,"CompCo"}</definedName>
    <definedName name="Compco1" localSheetId="9" hidden="1">{"Page1",#N/A,FALSE,"CompCo";"Page2",#N/A,FALSE,"CompCo"}</definedName>
    <definedName name="Compco1" localSheetId="10" hidden="1">{"Page1",#N/A,FALSE,"CompCo";"Page2",#N/A,FALSE,"CompCo"}</definedName>
    <definedName name="Compco1" localSheetId="8" hidden="1">{"Page1",#N/A,FALSE,"CompCo";"Page2",#N/A,FALSE,"CompCo"}</definedName>
    <definedName name="Compco1" hidden="1">{"Page1",#N/A,FALSE,"CompCo";"Page2",#N/A,FALSE,"CompCo"}</definedName>
    <definedName name="Compco2" localSheetId="13" hidden="1">{"Page1",#N/A,FALSE,"CompCo";"Page2",#N/A,FALSE,"CompCo"}</definedName>
    <definedName name="Compco2" localSheetId="7" hidden="1">{"Page1",#N/A,FALSE,"CompCo";"Page2",#N/A,FALSE,"CompCo"}</definedName>
    <definedName name="Compco2" localSheetId="9" hidden="1">{"Page1",#N/A,FALSE,"CompCo";"Page2",#N/A,FALSE,"CompCo"}</definedName>
    <definedName name="Compco2" localSheetId="10" hidden="1">{"Page1",#N/A,FALSE,"CompCo";"Page2",#N/A,FALSE,"CompCo"}</definedName>
    <definedName name="Compco2" localSheetId="8" hidden="1">{"Page1",#N/A,FALSE,"CompCo";"Page2",#N/A,FALSE,"CompCo"}</definedName>
    <definedName name="Compco2" hidden="1">{"Page1",#N/A,FALSE,"CompCo";"Page2",#N/A,FALSE,"CompCo"}</definedName>
    <definedName name="happy" localSheetId="13" hidden="1">{"Page1",#N/A,FALSE,"CompCo";"Page2",#N/A,FALSE,"CompCo"}</definedName>
    <definedName name="happy" localSheetId="7" hidden="1">{"Page1",#N/A,FALSE,"CompCo";"Page2",#N/A,FALSE,"CompCo"}</definedName>
    <definedName name="happy" localSheetId="9" hidden="1">{"Page1",#N/A,FALSE,"CompCo";"Page2",#N/A,FALSE,"CompCo"}</definedName>
    <definedName name="happy" localSheetId="10" hidden="1">{"Page1",#N/A,FALSE,"CompCo";"Page2",#N/A,FALSE,"CompCo"}</definedName>
    <definedName name="happy" localSheetId="8" hidden="1">{"Page1",#N/A,FALSE,"CompCo";"Page2",#N/A,FALSE,"CompCo"}</definedName>
    <definedName name="happy" hidden="1">{"Page1",#N/A,FALSE,"CompCo";"Page2",#N/A,FALSE,"CompCo"}</definedName>
    <definedName name="hkli9" localSheetId="13" hidden="1">{"Page1",#N/A,FALSE,"CompCo";"Page2",#N/A,FALSE,"CompCo"}</definedName>
    <definedName name="hkli9" localSheetId="7" hidden="1">{"Page1",#N/A,FALSE,"CompCo";"Page2",#N/A,FALSE,"CompCo"}</definedName>
    <definedName name="hkli9" localSheetId="9" hidden="1">{"Page1",#N/A,FALSE,"CompCo";"Page2",#N/A,FALSE,"CompCo"}</definedName>
    <definedName name="hkli9" localSheetId="10" hidden="1">{"Page1",#N/A,FALSE,"CompCo";"Page2",#N/A,FALSE,"CompCo"}</definedName>
    <definedName name="hkli9" localSheetId="8" hidden="1">{"Page1",#N/A,FALSE,"CompCo";"Page2",#N/A,FALSE,"CompCo"}</definedName>
    <definedName name="hkli9" hidden="1">{"Page1",#N/A,FALSE,"CompCo";"Page2",#N/A,FALSE,"CompCo"}</definedName>
    <definedName name="HTML_CodePage" hidden="1">1252</definedName>
    <definedName name="HTML_Control" localSheetId="13" hidden="1">{"'Segment'!$A$1:$J$45"}</definedName>
    <definedName name="HTML_Control" localSheetId="7" hidden="1">{"'Segment'!$A$1:$J$45"}</definedName>
    <definedName name="HTML_Control" localSheetId="9" hidden="1">{"'Segment'!$A$1:$J$45"}</definedName>
    <definedName name="HTML_Control" localSheetId="10" hidden="1">{"'Segment'!$A$1:$J$45"}</definedName>
    <definedName name="HTML_Control" localSheetId="8" hidden="1">{"'Segment'!$A$1:$J$45"}</definedName>
    <definedName name="HTML_Control" hidden="1">{"'Segment'!$A$1:$J$45"}</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"J:\carpente\Releases\Q2-00\segment2Q-00.htm"</definedName>
    <definedName name="HTML_Title" hidden="1">"Segment and Supplemental Information"</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E_BR" hidden="1">"c10"</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P_BR" hidden="1">"c34"</definedName>
    <definedName name="IQ_AR_BR" hidden="1">"c41"</definedName>
    <definedName name="IQ_ASSET_BACKED_FDIC" hidden="1">"c6301"</definedName>
    <definedName name="IQ_ASSET_WRITEDOWN_BR" hidden="1">"c50"</definedName>
    <definedName name="IQ_ASSET_WRITEDOWN_CF_BR" hidden="1">"c53"</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PEX_BR" hidden="1">"c111"</definedName>
    <definedName name="IQ_CASH_DIVIDENDS_NET_INCOME_FDIC" hidden="1">"c6738"</definedName>
    <definedName name="IQ_CASH_IN_PROCESS_FDIC" hidden="1">"c6386"</definedName>
    <definedName name="IQ_CASH_OPER_ACT_OR_EST" hidden="1">"c4164"</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UM_EST" hidden="1">"c4246"</definedName>
    <definedName name="IQ_CASH_OPER_STDDEV_EST" hidden="1">"c4247"</definedName>
    <definedName name="IQ_CCE_FDIC" hidden="1">"c6296"</definedName>
    <definedName name="IQ_CH">110000</definedName>
    <definedName name="IQ_CHANGE_AP_BR" hidden="1">"c135"</definedName>
    <definedName name="IQ_CHANGE_AR_BR" hidden="1">"c142"</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OTHER_NET_OPER_ASSETS_BR" hidden="1">"c3595"</definedName>
    <definedName name="IQ_CHANGE_OTHER_WORK_CAP_BR" hidden="1">"c154"</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APIC_BR" hidden="1">"c185"</definedName>
    <definedName name="IQ_COMMON_FDIC" hidden="1">"c6350"</definedName>
    <definedName name="IQ_COMMON_ISSUED_BR" hidden="1">"c199"</definedName>
    <definedName name="IQ_COMMON_REP_BR" hidden="1">"c208"</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EARNING_ASSETS_FDIC" hidden="1">"c6360"</definedName>
    <definedName name="IQ_EARNING_ASSETS_YIELD_FDIC" hidden="1">"c6724"</definedName>
    <definedName name="IQ_EARNINGS_COVERAGE_NET_CHARGE_OFFS_FDIC" hidden="1">"c6735"</definedName>
    <definedName name="IQ_EBT_BR" hidden="1">"c378"</definedName>
    <definedName name="IQ_EBT_EXCL_BR" hidden="1">"c381"</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ACT_FFO_THOM" hidden="1">"c4005"</definedName>
    <definedName name="IQ_EST_EPS_SURPRISE" hidden="1">"c1635"</definedName>
    <definedName name="IQ_EST_FFO_DIFF_THOM" hidden="1">"c5186"</definedName>
    <definedName name="IQ_EST_FFO_SURPRISE_PERCENT_THOM" hidden="1">"c5187"</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_BR" hidden="1">"c412"</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_CIQ" hidden="1">"c3668"</definedName>
    <definedName name="IQ_FFO_EST_DET_EST" hidden="1">"c12059"</definedName>
    <definedName name="IQ_FFO_EST_DET_EST_CURRENCY" hidden="1">"c12466"</definedName>
    <definedName name="IQ_FFO_EST_DET_EST_CURRENCY_THOM" hidden="1">"c12487"</definedName>
    <definedName name="IQ_FFO_EST_DET_EST_DATE" hidden="1">"c12212"</definedName>
    <definedName name="IQ_FFO_EST_DET_EST_DATE_THOM" hidden="1">"c12238"</definedName>
    <definedName name="IQ_FFO_EST_DET_EST_INCL" hidden="1">"c12349"</definedName>
    <definedName name="IQ_FFO_EST_DET_EST_INCL_THOM" hidden="1">"c12370"</definedName>
    <definedName name="IQ_FFO_EST_DET_EST_ORIGIN" hidden="1">"c12722"</definedName>
    <definedName name="IQ_FFO_EST_DET_EST_ORIGIN_THOM" hidden="1">"c12608"</definedName>
    <definedName name="IQ_FFO_EST_DET_EST_THOM" hidden="1">"c12088"</definedName>
    <definedName name="IQ_FFO_EST_THOM" hidden="1">"c3999"</definedName>
    <definedName name="IQ_FFO_HIGH_EST_CIQ" hidden="1">"c3670"</definedName>
    <definedName name="IQ_FFO_HIGH_EST_THOM" hidden="1">"c4001"</definedName>
    <definedName name="IQ_FFO_LOW_EST_CIQ" hidden="1">"c3671"</definedName>
    <definedName name="IQ_FFO_LOW_EST_THOM" hidden="1">"c4002"</definedName>
    <definedName name="IQ_FFO_MEDIAN_EST_CIQ" hidden="1">"c3669"</definedName>
    <definedName name="IQ_FFO_MEDIAN_EST_THOM" hidden="1">"c4000"</definedName>
    <definedName name="IQ_FFO_NUM_EST_CIQ" hidden="1">"c3672"</definedName>
    <definedName name="IQ_FFO_NUM_EST_THOM" hidden="1">"c4003"</definedName>
    <definedName name="IQ_FFO_STDDEV_EST_CIQ" hidden="1">"c3673"</definedName>
    <definedName name="IQ_FFO_STDDEV_EST_THOM" hidden="1">"c4004"</definedName>
    <definedName name="IQ_FH">100000</definedName>
    <definedName name="IQ_FHLB_ADVANCES_FDIC" hidden="1">"c6366"</definedName>
    <definedName name="IQ_FIDUCIARY_ACTIVITIES_FDIC" hidden="1">"c6571"</definedName>
    <definedName name="IQ_FIFETEEN_YEAR_FIXED_AND_FLOATING_RATE_FDIC" hidden="1">"c6423"</definedName>
    <definedName name="IQ_FIFETEEN_YEAR_MORTGAGE_PASS_THROUGHS_FDIC" hidden="1">"c6415"</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W_AMORT_BR" hidden="1">"c532"</definedName>
    <definedName name="IQ_GW_INTAN_AMORT_BR" hidden="1">"c1470"</definedName>
    <definedName name="IQ_GW_INTAN_AMORT_CF_BR" hidden="1">"c1473"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_EQUITY_BR" hidden="1">"c550"</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SETTLE_BR" hidden="1">"c572"</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BR" hidden="1">"c586"</definedName>
    <definedName name="IQ_INT_EXP_TOTAL_FDIC" hidden="1">"c6569"</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RATE_CONTRACTS_FDIC" hidden="1">"c6512"</definedName>
    <definedName name="IQ_INTEREST_RATE_EXPOSURES_FDIC" hidden="1">"c6662"</definedName>
    <definedName name="IQ_INVEST_LOANS_CF_BR" hidden="1">"c630"</definedName>
    <definedName name="IQ_INVEST_SECURITY_CF_BR" hidden="1">"c639"</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_BR" hidden="1">"c649"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CF_BR" hidden="1">"c661"</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AINT_CAPEX_ACT_OR_EST" hidden="1">"c4458"</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_BR" hidden="1">"c715"</definedName>
    <definedName name="IQ_MERGER_RESTRUCTURE_BR" hidden="1">"c721"</definedName>
    <definedName name="IQ_MINORITY_INTEREST_BR" hidden="1">"c729"</definedName>
    <definedName name="IQ_MONEY_MARKET_DEPOSIT_ACCOUNTS_FDIC" hidden="1">"c6553"</definedName>
    <definedName name="IQ_MONTH">15000</definedName>
    <definedName name="IQ_MORTGAGE_BACKED_SECURITIES_FDIC" hidden="1">"c6402"</definedName>
    <definedName name="IQ_MORTGAGE_SERVICING_FDIC" hidden="1">"c6335"</definedName>
    <definedName name="IQ_MTD" hidden="1">800000</definedName>
    <definedName name="IQ_MULTIFAMILY_RESIDENTIAL_LOANS_FDIC" hidden="1">"c6311"</definedName>
    <definedName name="IQ_NAMES_REVISION_DATE_" localSheetId="7" hidden="1">45271.910162037</definedName>
    <definedName name="IQ_NAMES_REVISION_DATE_" localSheetId="9" hidden="1">45271.910162037</definedName>
    <definedName name="IQ_NAMES_REVISION_DATE_" localSheetId="10" hidden="1">45271.910162037</definedName>
    <definedName name="IQ_NAMES_REVISION_DATE_" hidden="1">45271.910162037</definedName>
    <definedName name="IQ_NAV_ACT_OR_EST" hidden="1">"c2225"</definedName>
    <definedName name="IQ_NET_CHARGE_OFFS_FDIC" hidden="1">"c6641"</definedName>
    <definedName name="IQ_NET_CHARGE_OFFS_LOANS_FDIC" hidden="1">"c6751"</definedName>
    <definedName name="IQ_NET_DEBT_ISSUED_BR" hidden="1">"c753"</definedName>
    <definedName name="IQ_NET_INCOME_FDIC" hidden="1">"c6587"</definedName>
    <definedName name="IQ_NET_INT_INC_BNK_FDIC" hidden="1">"c6570"</definedName>
    <definedName name="IQ_NET_INT_INC_BR" hidden="1">"c765"</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6000</definedName>
    <definedName name="IQ_NUMBER_DEPOSITS_LESS_THAN_100K_FDIC" hidden="1">"c6495"</definedName>
    <definedName name="IQ_NUMBER_DEPOSITS_MORE_THAN_100K_FDIC" hidden="1">"c6493"</definedName>
    <definedName name="IQ_OBLIGATIONS_OF_STATES_TOTAL_LOANS_FOREIGN_FDIC" hidden="1">"c6447"</definedName>
    <definedName name="IQ_OBLIGATIONS_STATES_FDIC" hidden="1">"c6431"</definedName>
    <definedName name="IQ_OG_TOTAL_OIL_PRODUCTON" hidden="1">"c2059"</definedName>
    <definedName name="IQ_OPER_INC_BR" hidden="1">"c850"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MORT_BR" hidden="1">"c5566"</definedName>
    <definedName name="IQ_OTHER_ASSETS_BR" hidden="1">"c862"</definedName>
    <definedName name="IQ_OTHER_ASSETS_FDIC" hidden="1">"c6338"</definedName>
    <definedName name="IQ_OTHER_BORROWED_FUNDS_FDIC" hidden="1">"c6345"</definedName>
    <definedName name="IQ_OTHER_CA_SUPPL_BR" hidden="1">"c871"</definedName>
    <definedName name="IQ_OTHER_CL_SUPPL_BR" hidden="1">"c880"</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QUITY_BR" hidden="1">"c888"</definedName>
    <definedName name="IQ_OTHER_FINANCE_ACT_BR" hidden="1">"c895"</definedName>
    <definedName name="IQ_OTHER_FINANCE_ACT_SUPPL_BR" hidden="1">"c901"</definedName>
    <definedName name="IQ_OTHER_INSURANCE_FEES_FDIC" hidden="1">"c6672"</definedName>
    <definedName name="IQ_OTHER_INTAN_BR" hidden="1">"c909"</definedName>
    <definedName name="IQ_OTHER_INTANGIBLE_FDIC" hidden="1">"c6337"</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T_ASSETS_BR" hidden="1">"c948"</definedName>
    <definedName name="IQ_OTHER_NON_INT_EXP_FDIC" hidden="1">"c6578"</definedName>
    <definedName name="IQ_OTHER_NON_INT_EXPENSE_FDIC" hidden="1">"c6679"</definedName>
    <definedName name="IQ_OTHER_NON_INT_INC_FDIC" hidden="1">"c6676"</definedName>
    <definedName name="IQ_OTHER_NON_OPER_EXP_BR" hidden="1">"c957"</definedName>
    <definedName name="IQ_OTHER_NON_OPER_EXP_SUPPL_BR" hidden="1">"c962"</definedName>
    <definedName name="IQ_OTHER_OFF_BS_LIAB_FDIC" hidden="1">"c6533"</definedName>
    <definedName name="IQ_OTHER_OPER_ACT_BR" hidden="1">"c985"</definedName>
    <definedName name="IQ_OTHER_OPER_BR" hidden="1">"c990"</definedName>
    <definedName name="IQ_OTHER_OPER_SUPPL_BR" hidden="1">"c994"</definedName>
    <definedName name="IQ_OTHER_OPER_TOT_BR" hidden="1">"c1000"</definedName>
    <definedName name="IQ_OTHER_RE_OWNED_FDIC" hidden="1">"c6330"</definedName>
    <definedName name="IQ_OTHER_REV_BR" hidden="1">"c1011"</definedName>
    <definedName name="IQ_OTHER_REV_SUPPL_BR" hidden="1">"c1016"</definedName>
    <definedName name="IQ_OTHER_SAVINGS_DEPOSITS_FDIC" hidden="1">"c6554"</definedName>
    <definedName name="IQ_OTHER_TRANSACTIONS_FDIC" hidden="1">"c6504"</definedName>
    <definedName name="IQ_OTHER_UNUSED_COMMITMENTS_FDIC" hidden="1">"c6530"</definedName>
    <definedName name="IQ_OTHER_UNUSUAL_BR" hidden="1">"c1561"</definedName>
    <definedName name="IQ_OTHER_UNUSUAL_SUPPL_BR" hidden="1">"c1496"</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2MONTHS_CIQ" hidden="1">"c3769"</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THOM" hidden="1">"c5274"</definedName>
    <definedName name="IQ_PERCENT_INSURED_FDIC" hidden="1">"c6374"</definedName>
    <definedName name="IQ_PLEDGED_SECURITIES_FDIC" hidden="1">"c6401"</definedName>
    <definedName name="IQ_PRE_TAX_INCOME_FDIC" hidden="1">"c6581"</definedName>
    <definedName name="IQ_PREF_ISSUED_BR" hidden="1">"c1047"</definedName>
    <definedName name="IQ_PREF_OTHER_BR" hidden="1">"c1055"</definedName>
    <definedName name="IQ_PREF_REP_BR" hidden="1">"c1062"</definedName>
    <definedName name="IQ_PREFERRED_FDIC" hidden="1">"c6349"</definedName>
    <definedName name="IQ_PREMISES_EQUIPMENT_FDIC" hidden="1">"c6577"</definedName>
    <definedName name="IQ_PRETAX_RETURN_ASSETS_FDIC" hidden="1">"c6731"</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_BR" hidden="1">"c1106"</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BROK" hidden="1">"c1115"</definedName>
    <definedName name="IQ_RETURN_ASSETS_FDIC" hidden="1">"c6730"</definedName>
    <definedName name="IQ_RETURN_EQUITY_BROK" hidden="1">"c1120"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ALE_INTAN_CF_BR" hidden="1">"c1133"</definedName>
    <definedName name="IQ_SALE_PPE_CF_BR" hidden="1">"c1139"</definedName>
    <definedName name="IQ_SALE_REAL_ESTATE_CF_BR" hidden="1">"c1145"</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R_BR" hidden="1">"c1231"</definedName>
    <definedName name="IQ_TOTAL_ASSETS_FDIC" hidden="1">"c6339"</definedName>
    <definedName name="IQ_TOTAL_CHARGE_OFFS_FDIC" hidden="1">"c6603"</definedName>
    <definedName name="IQ_TOTAL_DEBT_ISSUED_BR" hidden="1">"c1253"</definedName>
    <definedName name="IQ_TOTAL_DEBT_REPAID_BR" hidden="1">"c1260"</definedName>
    <definedName name="IQ_TOTAL_DEBT_SECURITIES_FDIC" hidden="1">"c6410"</definedName>
    <definedName name="IQ_TOTAL_DEPOSITS_FDIC" hidden="1">"c6342"</definedName>
    <definedName name="IQ_TOTAL_EMPLOYEES_FDIC" hidden="1">"c6355"</definedName>
    <definedName name="IQ_TOTAL_LIAB_BR" hidden="1">"c1278"</definedName>
    <definedName name="IQ_TOTAL_LIAB_EQUITY_FDIC" hidden="1">"c6354"</definedName>
    <definedName name="IQ_TOTAL_LIABILITIES_FDIC" hidden="1">"c6348"</definedName>
    <definedName name="IQ_TOTAL_OPER_EXP_BR" hidden="1">"c1284"</definedName>
    <definedName name="IQ_TOTAL_PENSION_OBLIGATION" hidden="1">"c1292"</definedName>
    <definedName name="IQ_TOTAL_RECOVERIES_FDIC" hidden="1">"c6622"</definedName>
    <definedName name="IQ_TOTAL_REV_BNK_FDIC" hidden="1">"c6786"</definedName>
    <definedName name="IQ_TOTAL_REV_BR" hidden="1">"c1303"</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OTAL_UNUSUAL_BR" hidden="1">"c5517"</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OTHER_EQUITY_BR" hidden="1">"c1314"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_REV_CURRENT_BR" hidden="1">"c1324"</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50000</definedName>
    <definedName name="IQ_WRITTEN_OPTION_CONTRACTS_FDIC" hidden="1">"c6509"</definedName>
    <definedName name="IQ_WRITTEN_OPTION_CONTRACTS_FX_RISK_FDIC" hidden="1">"c6514"</definedName>
    <definedName name="IQ_WRITTEN_OPTION_CONTRACTS_NON_FX_IR_FDIC" hidden="1">"c6519"</definedName>
    <definedName name="IQ_YTD">3000</definedName>
    <definedName name="IQ_YTDMONTH" hidden="1">130000</definedName>
    <definedName name="Japan" localSheetId="13" hidden="1">{"twx1",#N/A,FALSE,"twltm.xls";"twx2",#N/A,FALSE,"twltm.xls";"twx3",#N/A,FALSE,"twltm.xls"}</definedName>
    <definedName name="Japan" localSheetId="7" hidden="1">{"twx1",#N/A,FALSE,"twltm.xls";"twx2",#N/A,FALSE,"twltm.xls";"twx3",#N/A,FALSE,"twltm.xls"}</definedName>
    <definedName name="Japan" localSheetId="9" hidden="1">{"twx1",#N/A,FALSE,"twltm.xls";"twx2",#N/A,FALSE,"twltm.xls";"twx3",#N/A,FALSE,"twltm.xls"}</definedName>
    <definedName name="Japan" localSheetId="10" hidden="1">{"twx1",#N/A,FALSE,"twltm.xls";"twx2",#N/A,FALSE,"twltm.xls";"twx3",#N/A,FALSE,"twltm.xls"}</definedName>
    <definedName name="Japan" localSheetId="8" hidden="1">{"twx1",#N/A,FALSE,"twltm.xls";"twx2",#N/A,FALSE,"twltm.xls";"twx3",#N/A,FALSE,"twltm.xls"}</definedName>
    <definedName name="Japan" hidden="1">{"twx1",#N/A,FALSE,"twltm.xls";"twx2",#N/A,FALSE,"twltm.xls";"twx3",#N/A,FALSE,"twltm.xls"}</definedName>
    <definedName name="jen"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jen"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jen"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jen"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jen"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jen" hidden="1">{TRUE,TRUE,-1.25,-15.5,456.75,279.75,FALSE,FALSE,TRUE,TRUE,0,1,8,1,4,6,3,4,TRUE,TRUE,3,TRUE,1,TRUE,100,"Swvu.turnover.","ACwvu.turnover.",1,FALSE,FALSE,0.511811023622047,0.511811023622047,0.511811023622047,0.511811023622047,1,"","",FALSE,FALSE,FALSE,FALSE,1,#N/A,1,1,#DIV/0!,FALSE,"Rwvu.turnover.",#N/A,FALSE,FALSE}</definedName>
    <definedName name="jjjj" localSheetId="13" hidden="1">{"Page1",#N/A,FALSE,"CompCo";"Page2",#N/A,FALSE,"CompCo"}</definedName>
    <definedName name="jjjj" localSheetId="7" hidden="1">{"Page1",#N/A,FALSE,"CompCo";"Page2",#N/A,FALSE,"CompCo"}</definedName>
    <definedName name="jjjj" localSheetId="9" hidden="1">{"Page1",#N/A,FALSE,"CompCo";"Page2",#N/A,FALSE,"CompCo"}</definedName>
    <definedName name="jjjj" localSheetId="10" hidden="1">{"Page1",#N/A,FALSE,"CompCo";"Page2",#N/A,FALSE,"CompCo"}</definedName>
    <definedName name="jjjj" localSheetId="8" hidden="1">{"Page1",#N/A,FALSE,"CompCo";"Page2",#N/A,FALSE,"CompCo"}</definedName>
    <definedName name="jjjj" hidden="1">{"Page1",#N/A,FALSE,"CompCo";"Page2",#N/A,FALSE,"CompCo"}</definedName>
    <definedName name="lkjlkh" localSheetId="13" hidden="1">{"Page1",#N/A,FALSE,"CompCo";"Page2",#N/A,FALSE,"CompCo"}</definedName>
    <definedName name="lkjlkh" localSheetId="7" hidden="1">{"Page1",#N/A,FALSE,"CompCo";"Page2",#N/A,FALSE,"CompCo"}</definedName>
    <definedName name="lkjlkh" localSheetId="9" hidden="1">{"Page1",#N/A,FALSE,"CompCo";"Page2",#N/A,FALSE,"CompCo"}</definedName>
    <definedName name="lkjlkh" localSheetId="10" hidden="1">{"Page1",#N/A,FALSE,"CompCo";"Page2",#N/A,FALSE,"CompCo"}</definedName>
    <definedName name="lkjlkh" localSheetId="8" hidden="1">{"Page1",#N/A,FALSE,"CompCo";"Page2",#N/A,FALSE,"CompCo"}</definedName>
    <definedName name="lkjlkh" hidden="1">{"Page1",#N/A,FALSE,"CompCo";"Page2",#N/A,FALSE,"CompCo"}</definedName>
    <definedName name="New" localSheetId="13" hidden="1">{"twx1",#N/A,FALSE,"twltm.xls";"twx2",#N/A,FALSE,"twltm.xls";"twx3",#N/A,FALSE,"twltm.xls"}</definedName>
    <definedName name="New" localSheetId="7" hidden="1">{"twx1",#N/A,FALSE,"twltm.xls";"twx2",#N/A,FALSE,"twltm.xls";"twx3",#N/A,FALSE,"twltm.xls"}</definedName>
    <definedName name="New" localSheetId="9" hidden="1">{"twx1",#N/A,FALSE,"twltm.xls";"twx2",#N/A,FALSE,"twltm.xls";"twx3",#N/A,FALSE,"twltm.xls"}</definedName>
    <definedName name="New" localSheetId="10" hidden="1">{"twx1",#N/A,FALSE,"twltm.xls";"twx2",#N/A,FALSE,"twltm.xls";"twx3",#N/A,FALSE,"twltm.xls"}</definedName>
    <definedName name="New" localSheetId="8" hidden="1">{"twx1",#N/A,FALSE,"twltm.xls";"twx2",#N/A,FALSE,"twltm.xls";"twx3",#N/A,FALSE,"twltm.xls"}</definedName>
    <definedName name="New" hidden="1">{"twx1",#N/A,FALSE,"twltm.xls";"twx2",#N/A,FALSE,"twltm.xls";"twx3",#N/A,FALSE,"twltm.xls"}</definedName>
    <definedName name="Newer" localSheetId="13" hidden="1">{"'Segment'!$A$1:$J$45"}</definedName>
    <definedName name="Newer" localSheetId="7" hidden="1">{"'Segment'!$A$1:$J$45"}</definedName>
    <definedName name="Newer" localSheetId="9" hidden="1">{"'Segment'!$A$1:$J$45"}</definedName>
    <definedName name="Newer" localSheetId="10" hidden="1">{"'Segment'!$A$1:$J$45"}</definedName>
    <definedName name="Newer" localSheetId="8" hidden="1">{"'Segment'!$A$1:$J$45"}</definedName>
    <definedName name="Newer" hidden="1">{"'Segment'!$A$1:$J$45"}</definedName>
    <definedName name="ool" localSheetId="13" hidden="1">{"Page1",#N/A,FALSE,"CompCo";"Page2",#N/A,FALSE,"CompCo"}</definedName>
    <definedName name="ool" localSheetId="7" hidden="1">{"Page1",#N/A,FALSE,"CompCo";"Page2",#N/A,FALSE,"CompCo"}</definedName>
    <definedName name="ool" localSheetId="9" hidden="1">{"Page1",#N/A,FALSE,"CompCo";"Page2",#N/A,FALSE,"CompCo"}</definedName>
    <definedName name="ool" localSheetId="10" hidden="1">{"Page1",#N/A,FALSE,"CompCo";"Page2",#N/A,FALSE,"CompCo"}</definedName>
    <definedName name="ool" localSheetId="8" hidden="1">{"Page1",#N/A,FALSE,"CompCo";"Page2",#N/A,FALSE,"CompCo"}</definedName>
    <definedName name="ool" hidden="1">{"Page1",#N/A,FALSE,"CompCo";"Page2",#N/A,FALSE,"CompCo"}</definedName>
    <definedName name="oooooi" localSheetId="13" hidden="1">{"Page1",#N/A,FALSE,"CompCo";"Page2",#N/A,FALSE,"CompCo"}</definedName>
    <definedName name="oooooi" localSheetId="7" hidden="1">{"Page1",#N/A,FALSE,"CompCo";"Page2",#N/A,FALSE,"CompCo"}</definedName>
    <definedName name="oooooi" localSheetId="9" hidden="1">{"Page1",#N/A,FALSE,"CompCo";"Page2",#N/A,FALSE,"CompCo"}</definedName>
    <definedName name="oooooi" localSheetId="10" hidden="1">{"Page1",#N/A,FALSE,"CompCo";"Page2",#N/A,FALSE,"CompCo"}</definedName>
    <definedName name="oooooi" localSheetId="8" hidden="1">{"Page1",#N/A,FALSE,"CompCo";"Page2",#N/A,FALSE,"CompCo"}</definedName>
    <definedName name="oooooi" hidden="1">{"Page1",#N/A,FALSE,"CompCo";"Page2",#N/A,FALSE,"CompCo"}</definedName>
    <definedName name="_xlnm.Print_Area" localSheetId="13">'Chinese Advertiser Impact'!$B$2:$AM$54</definedName>
    <definedName name="_xlnm.Print_Area" localSheetId="7">'D&amp;A Model - Case 1'!$B$2:$AC$193</definedName>
    <definedName name="_xlnm.Print_Area" localSheetId="9">'D&amp;A Model - Case 2'!$B$2:$AC$193</definedName>
    <definedName name="_xlnm.Print_Area" localSheetId="10">'D&amp;A Model - Case 3'!$B$2:$AC$193</definedName>
    <definedName name="_xlnm.Print_Area" localSheetId="6">'Historical Financials'!$B$2:$CI$652</definedName>
    <definedName name="_xlnm.Print_Area" localSheetId="5">'LT Revenue Forecast'!$B$2:$Z$126</definedName>
    <definedName name="_xlnm.Print_Area" localSheetId="8">'Outlook Commentary'!$B$2:$D$23</definedName>
    <definedName name="_xlnm.Print_Area" localSheetId="11">Sheet3!$B$2:$AD$89</definedName>
    <definedName name="_xlnm.Print_Area" localSheetId="2">'Simple Model - Case 1'!$B$2:$X$98</definedName>
    <definedName name="_xlnm.Print_Area" localSheetId="3">'Simple Model - Case 2'!$B$2:$X$98</definedName>
    <definedName name="_xlnm.Print_Area" localSheetId="4">'Simple Model - Case 3'!$B$2:$X$98</definedName>
    <definedName name="_xlnm.Print_Titles" localSheetId="6">'Historical Financials'!$2:$6</definedName>
    <definedName name="sencount" hidden="1">1</definedName>
    <definedName name="solver_adj" localSheetId="6" hidden="1">'Historical Financials'!#REF!</definedName>
    <definedName name="solver_cvg" localSheetId="6" hidden="1">0.0001</definedName>
    <definedName name="solver_drv" localSheetId="6" hidden="1">2</definedName>
    <definedName name="solver_eng" localSheetId="6" hidden="1">1</definedName>
    <definedName name="solver_est" localSheetId="6" hidden="1">1</definedName>
    <definedName name="solver_itr" localSheetId="6" hidden="1">2147483647</definedName>
    <definedName name="solver_lhs1" localSheetId="6" hidden="1">'Historical Financials'!#REF!</definedName>
    <definedName name="solver_lhs10" localSheetId="6" hidden="1">'Historical Financials'!#REF!</definedName>
    <definedName name="solver_lhs11" localSheetId="6" hidden="1">'Historical Financials'!#REF!</definedName>
    <definedName name="solver_lhs2" localSheetId="6" hidden="1">'Historical Financials'!#REF!</definedName>
    <definedName name="solver_lhs3" localSheetId="6" hidden="1">'Historical Financials'!#REF!</definedName>
    <definedName name="solver_lhs4" localSheetId="6" hidden="1">'Historical Financials'!#REF!</definedName>
    <definedName name="solver_lhs5" localSheetId="6" hidden="1">'Historical Financials'!#REF!</definedName>
    <definedName name="solver_lhs6" localSheetId="6" hidden="1">'Historical Financials'!#REF!</definedName>
    <definedName name="solver_lhs7" localSheetId="6" hidden="1">'Historical Financials'!#REF!</definedName>
    <definedName name="solver_lhs8" localSheetId="6" hidden="1">'Historical Financials'!#REF!</definedName>
    <definedName name="solver_lhs9" localSheetId="6" hidden="1">'Historical Financials'!#REF!</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11</definedName>
    <definedName name="solver_nwt" localSheetId="6" hidden="1">1</definedName>
    <definedName name="solver_opt" localSheetId="6" hidden="1">'Historical Financials'!#REF!</definedName>
    <definedName name="solver_pre" localSheetId="6" hidden="1">0.000001</definedName>
    <definedName name="solver_rbv" localSheetId="6" hidden="1">2</definedName>
    <definedName name="solver_rel1" localSheetId="6" hidden="1">1</definedName>
    <definedName name="solver_rel10" localSheetId="6" hidden="1">1</definedName>
    <definedName name="solver_rel11" localSheetId="6" hidden="1">2</definedName>
    <definedName name="solver_rel2" localSheetId="6" hidden="1">1</definedName>
    <definedName name="solver_rel3" localSheetId="6" hidden="1">1</definedName>
    <definedName name="solver_rel4" localSheetId="6" hidden="1">1</definedName>
    <definedName name="solver_rel5" localSheetId="6" hidden="1">1</definedName>
    <definedName name="solver_rel6" localSheetId="6" hidden="1">1</definedName>
    <definedName name="solver_rel7" localSheetId="6" hidden="1">1</definedName>
    <definedName name="solver_rel8" localSheetId="6" hidden="1">1</definedName>
    <definedName name="solver_rel9" localSheetId="6" hidden="1">1</definedName>
    <definedName name="solver_rhs1" localSheetId="6" hidden="1">50%</definedName>
    <definedName name="solver_rhs10" localSheetId="6" hidden="1">'Historical Financials'!#REF!</definedName>
    <definedName name="solver_rhs11" localSheetId="6" hidden="1">1</definedName>
    <definedName name="solver_rhs2" localSheetId="6" hidden="1">50%</definedName>
    <definedName name="solver_rhs3" localSheetId="6" hidden="1">'Historical Financials'!#REF!</definedName>
    <definedName name="solver_rhs4" localSheetId="6" hidden="1">'Historical Financials'!#REF!</definedName>
    <definedName name="solver_rhs5" localSheetId="6" hidden="1">'Historical Financials'!#REF!</definedName>
    <definedName name="solver_rhs6" localSheetId="6" hidden="1">'Historical Financials'!#REF!</definedName>
    <definedName name="solver_rhs7" localSheetId="6" hidden="1">'Historical Financials'!#REF!</definedName>
    <definedName name="solver_rhs8" localSheetId="6" hidden="1">'Historical Financials'!#REF!</definedName>
    <definedName name="solver_rhs9" localSheetId="6" hidden="1">'Historical Financials'!#REF!</definedName>
    <definedName name="solver_rlx" localSheetId="6" hidden="1">2</definedName>
    <definedName name="solver_rsd" localSheetId="6" hidden="1">0</definedName>
    <definedName name="solver_scl" localSheetId="6" hidden="1">2</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2</definedName>
    <definedName name="solver_val" localSheetId="6" hidden="1">0</definedName>
    <definedName name="solver_ver" localSheetId="6" hidden="1">3</definedName>
    <definedName name="test" hidden="1">'[3]#REF'!$C$11:$I$22</definedName>
    <definedName name="wrn.Accounts." localSheetId="13" hidden="1">{"turnover",#N/A,FALSE;"profits",#N/A,FALSE;"cash",#N/A,FALSE}</definedName>
    <definedName name="wrn.Accounts." localSheetId="7" hidden="1">{"turnover",#N/A,FALSE;"profits",#N/A,FALSE;"cash",#N/A,FALSE}</definedName>
    <definedName name="wrn.Accounts." localSheetId="9" hidden="1">{"turnover",#N/A,FALSE;"profits",#N/A,FALSE;"cash",#N/A,FALSE}</definedName>
    <definedName name="wrn.Accounts." localSheetId="10" hidden="1">{"turnover",#N/A,FALSE;"profits",#N/A,FALSE;"cash",#N/A,FALSE}</definedName>
    <definedName name="wrn.Accounts." localSheetId="8" hidden="1">{"turnover",#N/A,FALSE;"profits",#N/A,FALSE;"cash",#N/A,FALSE}</definedName>
    <definedName name="wrn.Accounts." hidden="1">{"turnover",#N/A,FALSE;"profits",#N/A,FALSE;"cash",#N/A,FALSE}</definedName>
    <definedName name="wrn.adj95." localSheetId="13" hidden="1">{"adj95mult",#N/A,FALSE,"COMPCO";"adj95est",#N/A,FALSE,"COMPCO"}</definedName>
    <definedName name="wrn.adj95." localSheetId="7" hidden="1">{"adj95mult",#N/A,FALSE,"COMPCO";"adj95est",#N/A,FALSE,"COMPCO"}</definedName>
    <definedName name="wrn.adj95." localSheetId="9" hidden="1">{"adj95mult",#N/A,FALSE,"COMPCO";"adj95est",#N/A,FALSE,"COMPCO"}</definedName>
    <definedName name="wrn.adj95." localSheetId="10" hidden="1">{"adj95mult",#N/A,FALSE,"COMPCO";"adj95est",#N/A,FALSE,"COMPCO"}</definedName>
    <definedName name="wrn.adj95." localSheetId="8" hidden="1">{"adj95mult",#N/A,FALSE,"COMPCO";"adj95est",#N/A,FALSE,"COMPCO"}</definedName>
    <definedName name="wrn.adj95." hidden="1">{"adj95mult",#N/A,FALSE,"COMPCO";"adj95est",#N/A,FALSE,"COMPCO"}</definedName>
    <definedName name="wrn.Aging._.and._.Trend._.Analysis." localSheetId="13" hidden="1">{#N/A,#N/A,FALSE,"Aging Summary";#N/A,#N/A,FALSE,"Ratio Analysis";#N/A,#N/A,FALSE,"Test 120 Day Accts";#N/A,#N/A,FALSE,"Tickmarks"}</definedName>
    <definedName name="wrn.Aging._.and._.Trend._.Analysis." localSheetId="7" hidden="1">{#N/A,#N/A,FALSE,"Aging Summary";#N/A,#N/A,FALSE,"Ratio Analysis";#N/A,#N/A,FALSE,"Test 120 Day Accts";#N/A,#N/A,FALSE,"Tickmarks"}</definedName>
    <definedName name="wrn.Aging._.and._.Trend._.Analysis." localSheetId="9" hidden="1">{#N/A,#N/A,FALSE,"Aging Summary";#N/A,#N/A,FALSE,"Ratio Analysis";#N/A,#N/A,FALSE,"Test 120 Day Accts";#N/A,#N/A,FALSE,"Tickmarks"}</definedName>
    <definedName name="wrn.Aging._.and._.Trend._.Analysis." localSheetId="10" hidden="1">{#N/A,#N/A,FALSE,"Aging Summary";#N/A,#N/A,FALSE,"Ratio Analysis";#N/A,#N/A,FALSE,"Test 120 Day Accts";#N/A,#N/A,FALSE,"Tickmarks"}</definedName>
    <definedName name="wrn.Aging._.and._.Trend._.Analysis." localSheetId="8"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13" hidden="1">{"Matrix",#N/A,FALSE,"ACQMTRX";"Fees",#N/A,FALSE,"ACQMTRX"}</definedName>
    <definedName name="wrn.All." localSheetId="7" hidden="1">{"Matrix",#N/A,FALSE,"ACQMTRX";"Fees",#N/A,FALSE,"ACQMTRX"}</definedName>
    <definedName name="wrn.All." localSheetId="9" hidden="1">{"Matrix",#N/A,FALSE,"ACQMTRX";"Fees",#N/A,FALSE,"ACQMTRX"}</definedName>
    <definedName name="wrn.All." localSheetId="10" hidden="1">{"Matrix",#N/A,FALSE,"ACQMTRX";"Fees",#N/A,FALSE,"ACQMTRX"}</definedName>
    <definedName name="wrn.All." localSheetId="8" hidden="1">{"Matrix",#N/A,FALSE,"ACQMTRX";"Fees",#N/A,FALSE,"ACQMTRX"}</definedName>
    <definedName name="wrn.All." hidden="1">{"Matrix",#N/A,FALSE,"ACQMTRX";"Fees",#N/A,FALSE,"ACQMTRX"}</definedName>
    <definedName name="wrn.COMPCO." localSheetId="13" hidden="1">{"Page1",#N/A,FALSE,"CompCo";"Page2",#N/A,FALSE,"CompCo"}</definedName>
    <definedName name="wrn.COMPCO." localSheetId="7" hidden="1">{"Page1",#N/A,FALSE,"CompCo";"Page2",#N/A,FALSE,"CompCo"}</definedName>
    <definedName name="wrn.COMPCO." localSheetId="9" hidden="1">{"Page1",#N/A,FALSE,"CompCo";"Page2",#N/A,FALSE,"CompCo"}</definedName>
    <definedName name="wrn.COMPCO." localSheetId="10" hidden="1">{"Page1",#N/A,FALSE,"CompCo";"Page2",#N/A,FALSE,"CompCo"}</definedName>
    <definedName name="wrn.COMPCO." localSheetId="8" hidden="1">{"Page1",#N/A,FALSE,"CompCo";"Page2",#N/A,FALSE,"CompCo"}</definedName>
    <definedName name="wrn.COMPCO." hidden="1">{"Page1",#N/A,FALSE,"CompCo";"Page2",#N/A,FALSE,"CompCo"}</definedName>
    <definedName name="wrn.DCF." localSheetId="13" hidden="1">{"DCF1",#N/A,FALSE,"SIERRA DCF";"MATRIX1",#N/A,FALSE,"SIERRA DCF"}</definedName>
    <definedName name="wrn.DCF." localSheetId="7" hidden="1">{"DCF1",#N/A,FALSE,"SIERRA DCF";"MATRIX1",#N/A,FALSE,"SIERRA DCF"}</definedName>
    <definedName name="wrn.DCF." localSheetId="9" hidden="1">{"DCF1",#N/A,FALSE,"SIERRA DCF";"MATRIX1",#N/A,FALSE,"SIERRA DCF"}</definedName>
    <definedName name="wrn.DCF." localSheetId="10" hidden="1">{"DCF1",#N/A,FALSE,"SIERRA DCF";"MATRIX1",#N/A,FALSE,"SIERRA DCF"}</definedName>
    <definedName name="wrn.DCF." localSheetId="8" hidden="1">{"DCF1",#N/A,FALSE,"SIERRA DCF";"MATRIX1",#N/A,FALSE,"SIERRA DCF"}</definedName>
    <definedName name="wrn.DCF." hidden="1">{"DCF1",#N/A,FALSE,"SIERRA DCF";"MATRIX1",#N/A,FALSE,"SIERRA DCF"}</definedName>
    <definedName name="wrn.Economic._.Value._.Added._.Analysis." localSheetId="13" hidden="1">{"EVA",#N/A,FALSE,"EVA";"WACC",#N/A,FALSE,"WACC"}</definedName>
    <definedName name="wrn.Economic._.Value._.Added._.Analysis." localSheetId="7" hidden="1">{"EVA",#N/A,FALSE,"EVA";"WACC",#N/A,FALSE,"WACC"}</definedName>
    <definedName name="wrn.Economic._.Value._.Added._.Analysis." localSheetId="9" hidden="1">{"EVA",#N/A,FALSE,"EVA";"WACC",#N/A,FALSE,"WACC"}</definedName>
    <definedName name="wrn.Economic._.Value._.Added._.Analysis." localSheetId="10" hidden="1">{"EVA",#N/A,FALSE,"EVA";"WACC",#N/A,FALSE,"WACC"}</definedName>
    <definedName name="wrn.Economic._.Value._.Added._.Analysis." localSheetId="8" hidden="1">{"EVA",#N/A,FALSE,"EVA";"WACC",#N/A,FALSE,"WACC"}</definedName>
    <definedName name="wrn.Economic._.Value._.Added._.Analysis." hidden="1">{"EVA",#N/A,FALSE,"EVA";"WACC",#N/A,FALSE,"WACC"}</definedName>
    <definedName name="wrn.full._.report." localSheetId="13"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7"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9"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10"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8"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Leases.xls." localSheetId="13" hidden="1">{#N/A,#N/A,FALSE,"Initial Year";#N/A,#N/A,FALSE,"Historical";#N/A,#N/A,FALSE,"balsheet";#N/A,#N/A,FALSE,"incstate";#N/A,#N/A,FALSE,"Fleet"}</definedName>
    <definedName name="wrn.Leases.xls." localSheetId="7" hidden="1">{#N/A,#N/A,FALSE,"Initial Year";#N/A,#N/A,FALSE,"Historical";#N/A,#N/A,FALSE,"balsheet";#N/A,#N/A,FALSE,"incstate";#N/A,#N/A,FALSE,"Fleet"}</definedName>
    <definedName name="wrn.Leases.xls." localSheetId="9" hidden="1">{#N/A,#N/A,FALSE,"Initial Year";#N/A,#N/A,FALSE,"Historical";#N/A,#N/A,FALSE,"balsheet";#N/A,#N/A,FALSE,"incstate";#N/A,#N/A,FALSE,"Fleet"}</definedName>
    <definedName name="wrn.Leases.xls." localSheetId="10" hidden="1">{#N/A,#N/A,FALSE,"Initial Year";#N/A,#N/A,FALSE,"Historical";#N/A,#N/A,FALSE,"balsheet";#N/A,#N/A,FALSE,"incstate";#N/A,#N/A,FALSE,"Fleet"}</definedName>
    <definedName name="wrn.Leases.xls." localSheetId="8" hidden="1">{#N/A,#N/A,FALSE,"Initial Year";#N/A,#N/A,FALSE,"Historical";#N/A,#N/A,FALSE,"balsheet";#N/A,#N/A,FALSE,"incstate";#N/A,#N/A,FALSE,"Fleet"}</definedName>
    <definedName name="wrn.Leases.xls." hidden="1">{#N/A,#N/A,FALSE,"Initial Year";#N/A,#N/A,FALSE,"Historical";#N/A,#N/A,FALSE,"balsheet";#N/A,#N/A,FALSE,"incstate";#N/A,#N/A,FALSE,"Fleet"}</definedName>
    <definedName name="wrn.OUTPUT." localSheetId="13" hidden="1">{"DCF","UPSIDE CASE",FALSE,"Sheet1";"DCF","BASE CASE",FALSE,"Sheet1";"DCF","DOWNSIDE CASE",FALSE,"Sheet1"}</definedName>
    <definedName name="wrn.OUTPUT." localSheetId="7" hidden="1">{"DCF","UPSIDE CASE",FALSE,"Sheet1";"DCF","BASE CASE",FALSE,"Sheet1";"DCF","DOWNSIDE CASE",FALSE,"Sheet1"}</definedName>
    <definedName name="wrn.OUTPUT." localSheetId="9" hidden="1">{"DCF","UPSIDE CASE",FALSE,"Sheet1";"DCF","BASE CASE",FALSE,"Sheet1";"DCF","DOWNSIDE CASE",FALSE,"Sheet1"}</definedName>
    <definedName name="wrn.OUTPUT." localSheetId="10" hidden="1">{"DCF","UPSIDE CASE",FALSE,"Sheet1";"DCF","BASE CASE",FALSE,"Sheet1";"DCF","DOWNSIDE CASE",FALSE,"Sheet1"}</definedName>
    <definedName name="wrn.OUTPUT." localSheetId="8" hidden="1">{"DCF","UPSIDE CASE",FALSE,"Sheet1";"DCF","BASE CASE",FALSE,"Sheet1";"DCF","DOWNSIDE CASE",FALSE,"Sheet1"}</definedName>
    <definedName name="wrn.OUTPUT." hidden="1">{"DCF","UPSIDE CASE",FALSE,"Sheet1";"DCF","BASE CASE",FALSE,"Sheet1";"DCF","DOWNSIDE CASE",FALSE,"Sheet1"}</definedName>
    <definedName name="wrn.sales." localSheetId="13" hidden="1">{"sales",#N/A,FALSE,"Sales";"sales existing",#N/A,FALSE,"Sales";"sales rd1",#N/A,FALSE,"Sales";"sales rd2",#N/A,FALSE,"Sales"}</definedName>
    <definedName name="wrn.sales." localSheetId="7" hidden="1">{"sales",#N/A,FALSE,"Sales";"sales existing",#N/A,FALSE,"Sales";"sales rd1",#N/A,FALSE,"Sales";"sales rd2",#N/A,FALSE,"Sales"}</definedName>
    <definedName name="wrn.sales." localSheetId="9" hidden="1">{"sales",#N/A,FALSE,"Sales";"sales existing",#N/A,FALSE,"Sales";"sales rd1",#N/A,FALSE,"Sales";"sales rd2",#N/A,FALSE,"Sales"}</definedName>
    <definedName name="wrn.sales." localSheetId="10" hidden="1">{"sales",#N/A,FALSE,"Sales";"sales existing",#N/A,FALSE,"Sales";"sales rd1",#N/A,FALSE,"Sales";"sales rd2",#N/A,FALSE,"Sales"}</definedName>
    <definedName name="wrn.sales." localSheetId="8" hidden="1">{"sales",#N/A,FALSE,"Sales";"sales existing",#N/A,FALSE,"Sales";"sales rd1",#N/A,FALSE,"Sales";"sales rd2",#N/A,FALSE,"Sales"}</definedName>
    <definedName name="wrn.sales." hidden="1">{"sales",#N/A,FALSE,"Sales";"sales existing",#N/A,FALSE,"Sales";"sales rd1",#N/A,FALSE,"Sales";"sales rd2",#N/A,FALSE,"Sales"}</definedName>
    <definedName name="wrn.Trended._.BS." localSheetId="13" hidden="1">{"TrendLiab",#N/A,FALSE,"Balance Sheet";"TrendAssets",#N/A,FALSE,"Balance Sheet"}</definedName>
    <definedName name="wrn.Trended._.BS." localSheetId="7" hidden="1">{"TrendLiab",#N/A,FALSE,"Balance Sheet";"TrendAssets",#N/A,FALSE,"Balance Sheet"}</definedName>
    <definedName name="wrn.Trended._.BS." localSheetId="9" hidden="1">{"TrendLiab",#N/A,FALSE,"Balance Sheet";"TrendAssets",#N/A,FALSE,"Balance Sheet"}</definedName>
    <definedName name="wrn.Trended._.BS." localSheetId="10" hidden="1">{"TrendLiab",#N/A,FALSE,"Balance Sheet";"TrendAssets",#N/A,FALSE,"Balance Sheet"}</definedName>
    <definedName name="wrn.Trended._.BS." localSheetId="8" hidden="1">{"TrendLiab",#N/A,FALSE,"Balance Sheet";"TrendAssets",#N/A,FALSE,"Balance Sheet"}</definedName>
    <definedName name="wrn.Trended._.BS." hidden="1">{"TrendLiab",#N/A,FALSE,"Balance Sheet";"TrendAssets",#N/A,FALSE,"Balance Sheet"}</definedName>
    <definedName name="wrn.twxmodel." localSheetId="13" hidden="1">{"twx1",#N/A,FALSE,"twltm.xls";"twx2",#N/A,FALSE,"twltm.xls";"twx3",#N/A,FALSE,"twltm.xls"}</definedName>
    <definedName name="wrn.twxmodel." localSheetId="7" hidden="1">{"twx1",#N/A,FALSE,"twltm.xls";"twx2",#N/A,FALSE,"twltm.xls";"twx3",#N/A,FALSE,"twltm.xls"}</definedName>
    <definedName name="wrn.twxmodel." localSheetId="9" hidden="1">{"twx1",#N/A,FALSE,"twltm.xls";"twx2",#N/A,FALSE,"twltm.xls";"twx3",#N/A,FALSE,"twltm.xls"}</definedName>
    <definedName name="wrn.twxmodel." localSheetId="10" hidden="1">{"twx1",#N/A,FALSE,"twltm.xls";"twx2",#N/A,FALSE,"twltm.xls";"twx3",#N/A,FALSE,"twltm.xls"}</definedName>
    <definedName name="wrn.twxmodel." localSheetId="8" hidden="1">{"twx1",#N/A,FALSE,"twltm.xls";"twx2",#N/A,FALSE,"twltm.xls";"twx3",#N/A,FALSE,"twltm.xls"}</definedName>
    <definedName name="wrn.twxmodel." hidden="1">{"twx1",#N/A,FALSE,"twltm.xls";"twx2",#N/A,FALSE,"twltm.xls";"twx3",#N/A,FALSE,"twltm.xls"}</definedName>
    <definedName name="wvu.cash." localSheetId="13" hidden="1">{TRUE,TRUE,-1.25,-15.5,456.75,279.75,FALSE,FALSE,TRUE,TRUE,0,1,18,1,199,6,3,4,TRUE,TRUE,3,TRUE,1,TRUE,100,"Swvu.cash.","ACwvu.cash.",1,FALSE,FALSE,0.511811023622047,0.511811023622047,0.511811023622047,0.511811023622047,1,"","",FALSE,FALSE,FALSE,FALSE,1,#N/A,1,1,#DIV/0!,FALSE,"Rwvu.cash.",#N/A,FALSE,FALSE}</definedName>
    <definedName name="wvu.cash." localSheetId="7" hidden="1">{TRUE,TRUE,-1.25,-15.5,456.75,279.75,FALSE,FALSE,TRUE,TRUE,0,1,18,1,199,6,3,4,TRUE,TRUE,3,TRUE,1,TRUE,100,"Swvu.cash.","ACwvu.cash.",1,FALSE,FALSE,0.511811023622047,0.511811023622047,0.511811023622047,0.511811023622047,1,"","",FALSE,FALSE,FALSE,FALSE,1,#N/A,1,1,#DIV/0!,FALSE,"Rwvu.cash.",#N/A,FALSE,FALSE}</definedName>
    <definedName name="wvu.cash." localSheetId="9" hidden="1">{TRUE,TRUE,-1.25,-15.5,456.75,279.75,FALSE,FALSE,TRUE,TRUE,0,1,18,1,199,6,3,4,TRUE,TRUE,3,TRUE,1,TRUE,100,"Swvu.cash.","ACwvu.cash.",1,FALSE,FALSE,0.511811023622047,0.511811023622047,0.511811023622047,0.511811023622047,1,"","",FALSE,FALSE,FALSE,FALSE,1,#N/A,1,1,#DIV/0!,FALSE,"Rwvu.cash.",#N/A,FALSE,FALSE}</definedName>
    <definedName name="wvu.cash." localSheetId="10" hidden="1">{TRUE,TRUE,-1.25,-15.5,456.75,279.75,FALSE,FALSE,TRUE,TRUE,0,1,18,1,199,6,3,4,TRUE,TRUE,3,TRUE,1,TRUE,100,"Swvu.cash.","ACwvu.cash.",1,FALSE,FALSE,0.511811023622047,0.511811023622047,0.511811023622047,0.511811023622047,1,"","",FALSE,FALSE,FALSE,FALSE,1,#N/A,1,1,#DIV/0!,FALSE,"Rwvu.cash.",#N/A,FALSE,FALSE}</definedName>
    <definedName name="wvu.cash." localSheetId="8" hidden="1">{TRUE,TRUE,-1.25,-15.5,456.75,279.75,FALSE,FALSE,TRUE,TRUE,0,1,18,1,199,6,3,4,TRUE,TRUE,3,TRUE,1,TRUE,100,"Swvu.cash.","ACwvu.cash.",1,FALSE,FALSE,0.511811023622047,0.511811023622047,0.511811023622047,0.511811023622047,1,"","",FALSE,FALSE,FALSE,FALSE,1,#N/A,1,1,#DIV/0!,FALSE,"Rwvu.cash.",#N/A,FALSE,FALSE}</definedName>
    <definedName name="wvu.cash." hidden="1">{TRUE,TRUE,-1.25,-15.5,456.75,279.75,FALSE,FALSE,TRUE,TRUE,0,1,18,1,199,6,3,4,TRUE,TRUE,3,TRUE,1,TRUE,100,"Swvu.cash.","ACwvu.cash.",1,FALSE,FALSE,0.511811023622047,0.511811023622047,0.511811023622047,0.511811023622047,1,"","",FALSE,FALSE,FALSE,FALSE,1,#N/A,1,1,#DIV/0!,FALSE,"Rwvu.cash.",#N/A,FALSE,FALSE}</definedName>
    <definedName name="wvu.profits."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wvu.profits."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wvu.profits."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wvu.profits."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wvu.profits."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wvu.profits." hidden="1">{TRUE,TRUE,-1.25,-15.5,456.75,279.75,FALSE,FALSE,TRUE,TRUE,0,1,21,1,127,6,3,4,TRUE,TRUE,3,TRUE,1,TRUE,100,"Swvu.profits.","ACwvu.profits.",1,FALSE,FALSE,0.511811023622047,0.511811023622047,0.511811023622047,0.511811023622047,1,"","",FALSE,FALSE,FALSE,FALSE,1,#N/A,1,1,#DIV/0!,FALSE,"Rwvu.profits.",#N/A,FALSE,FALSE}</definedName>
    <definedName name="wvu.turnover."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wvu.turnover."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wvu.turnover."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wvu.turnover."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wvu.turnover."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wvu.turnover." hidden="1">{TRUE,TRUE,-1.25,-15.5,456.75,279.75,FALSE,FALSE,TRUE,TRUE,0,1,8,1,4,6,3,4,TRUE,TRUE,3,TRUE,1,TRUE,100,"Swvu.turnover.","ACwvu.turnover.",1,FALSE,FALSE,0.511811023622047,0.511811023622047,0.511811023622047,0.511811023622047,1,"","",FALSE,FALSE,FALSE,FALSE,1,#N/A,1,1,#DIV/0!,FALSE,"Rwvu.turnover.",#N/A,FALSE,FALSE}</definedName>
    <definedName name="xysz"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xysz"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xysz"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xysz"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xysz"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xysz" hidden="1">{TRUE,TRUE,-1.25,-15.5,456.75,279.75,FALSE,FALSE,TRUE,TRUE,0,1,21,1,127,6,3,4,TRUE,TRUE,3,TRUE,1,TRUE,100,"Swvu.profits.","ACwvu.profits.",1,FALSE,FALSE,0.511811023622047,0.511811023622047,0.511811023622047,0.511811023622047,1,"","",FALSE,FALSE,FALSE,FALSE,1,#N/A,1,1,#DIV/0!,FALSE,"Rwvu.profits.",#N/A,FALSE,FALSE}</definedName>
    <definedName name="yioyio" localSheetId="13" hidden="1">{"Page1",#N/A,FALSE,"CompCo";"Page2",#N/A,FALSE,"CompCo"}</definedName>
    <definedName name="yioyio" localSheetId="7" hidden="1">{"Page1",#N/A,FALSE,"CompCo";"Page2",#N/A,FALSE,"CompCo"}</definedName>
    <definedName name="yioyio" localSheetId="9" hidden="1">{"Page1",#N/A,FALSE,"CompCo";"Page2",#N/A,FALSE,"CompCo"}</definedName>
    <definedName name="yioyio" localSheetId="10" hidden="1">{"Page1",#N/A,FALSE,"CompCo";"Page2",#N/A,FALSE,"CompCo"}</definedName>
    <definedName name="yioyio" localSheetId="8" hidden="1">{"Page1",#N/A,FALSE,"CompCo";"Page2",#N/A,FALSE,"CompCo"}</definedName>
    <definedName name="yioyio" hidden="1">{"Page1",#N/A,FALSE,"CompCo";"Page2",#N/A,FALSE,"CompCo"}</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4" i="815" l="1" a="1"/>
  <c r="AG24" i="815"/>
  <c r="AC24" i="815" a="1"/>
  <c r="AC24" i="815"/>
  <c r="AD24" i="815" a="1"/>
  <c r="AD24" i="815"/>
  <c r="AE24" i="815" a="1"/>
  <c r="AE24" i="815"/>
  <c r="D24" i="815" a="1"/>
  <c r="D24" i="815"/>
  <c r="BO621" i="2"/>
  <c r="BU621" i="2"/>
  <c r="BL621" i="2"/>
  <c r="BM621" i="2"/>
  <c r="BN621" i="2"/>
  <c r="D621" i="2"/>
  <c r="BM620" i="2"/>
  <c r="BN620" i="2"/>
  <c r="BO620" i="2"/>
  <c r="BU620" i="2"/>
  <c r="BL620" i="2"/>
  <c r="D620" i="2"/>
  <c r="BO619" i="2"/>
  <c r="BU619" i="2"/>
  <c r="BL619" i="2"/>
  <c r="BM619" i="2"/>
  <c r="BN619" i="2"/>
  <c r="D619" i="2"/>
  <c r="BM618" i="2"/>
  <c r="BN618" i="2"/>
  <c r="BO618" i="2"/>
  <c r="BU618" i="2"/>
  <c r="BL618" i="2"/>
  <c r="D618" i="2"/>
  <c r="BO617" i="2"/>
  <c r="BU617" i="2"/>
  <c r="BL617" i="2"/>
  <c r="BM617" i="2"/>
  <c r="BN617" i="2"/>
  <c r="D617" i="2"/>
  <c r="BM616" i="2"/>
  <c r="BN616" i="2"/>
  <c r="BO616" i="2"/>
  <c r="BU616" i="2"/>
  <c r="BL616" i="2"/>
  <c r="CH58" i="2"/>
  <c r="CI58" i="2"/>
  <c r="D616" i="2"/>
  <c r="BL58" i="2"/>
  <c r="BM58" i="2"/>
  <c r="BN58" i="2"/>
  <c r="BO58" i="2"/>
  <c r="BO18" i="2"/>
  <c r="CH18" i="2"/>
  <c r="CI18" i="2"/>
  <c r="BK58" i="2"/>
  <c r="BK18" i="2"/>
  <c r="BL18" i="2"/>
  <c r="BM18" i="2"/>
  <c r="BN18" i="2"/>
  <c r="W68" i="412"/>
  <c r="X68" i="412"/>
  <c r="W52" i="412"/>
  <c r="X52" i="412"/>
  <c r="W29" i="412"/>
  <c r="X29" i="412"/>
  <c r="W41" i="412"/>
  <c r="W64" i="412" s="1"/>
  <c r="X41" i="412"/>
  <c r="X64" i="412" s="1"/>
  <c r="W8" i="412"/>
  <c r="X8" i="412"/>
  <c r="W16" i="412"/>
  <c r="X16" i="412"/>
  <c r="W68" i="411"/>
  <c r="X68" i="411"/>
  <c r="W52" i="411"/>
  <c r="X52" i="411"/>
  <c r="W29" i="411"/>
  <c r="X29" i="411"/>
  <c r="W41" i="411"/>
  <c r="W64" i="411" s="1"/>
  <c r="X41" i="411"/>
  <c r="X64" i="411" s="1"/>
  <c r="W8" i="411"/>
  <c r="X8" i="411"/>
  <c r="W16" i="411"/>
  <c r="X16" i="411"/>
  <c r="W68" i="1"/>
  <c r="X68" i="1"/>
  <c r="W52" i="1"/>
  <c r="X52" i="1"/>
  <c r="W29" i="1"/>
  <c r="X29" i="1"/>
  <c r="W41" i="1"/>
  <c r="W64" i="1" s="1"/>
  <c r="X41" i="1"/>
  <c r="X64" i="1" s="1"/>
  <c r="W8" i="1"/>
  <c r="X8" i="1"/>
  <c r="W16" i="1"/>
  <c r="X16" i="1"/>
  <c r="AM2" i="815"/>
  <c r="E7" i="815"/>
  <c r="F7" i="815"/>
  <c r="G7" i="815"/>
  <c r="H7" i="815"/>
  <c r="I7" i="815"/>
  <c r="J7" i="815"/>
  <c r="K7" i="815"/>
  <c r="L7" i="815"/>
  <c r="M7" i="815"/>
  <c r="N7" i="815"/>
  <c r="O7" i="815"/>
  <c r="P7" i="815"/>
  <c r="Q7" i="815"/>
  <c r="R7" i="815"/>
  <c r="S7" i="815"/>
  <c r="T7" i="815"/>
  <c r="U7" i="815"/>
  <c r="V7" i="815"/>
  <c r="W7" i="815"/>
  <c r="X7" i="815"/>
  <c r="Y7" i="815"/>
  <c r="Z7" i="815"/>
  <c r="AA7" i="815"/>
  <c r="AB7" i="815"/>
  <c r="AC7" i="815"/>
  <c r="AD7" i="815"/>
  <c r="AE7" i="815"/>
  <c r="AH7" i="815"/>
  <c r="AI7" i="815"/>
  <c r="AJ7" i="815"/>
  <c r="AK7" i="815"/>
  <c r="AL7" i="815"/>
  <c r="AM7" i="815"/>
  <c r="AG10" i="815"/>
  <c r="AH10" i="815"/>
  <c r="AI10" i="815"/>
  <c r="AJ10" i="815"/>
  <c r="AK10" i="815"/>
  <c r="AL10" i="815"/>
  <c r="AG11" i="815"/>
  <c r="AH11" i="815"/>
  <c r="AI11" i="815"/>
  <c r="AJ11" i="815"/>
  <c r="AK11" i="815"/>
  <c r="AL11" i="815"/>
  <c r="D12" i="815"/>
  <c r="AG12" i="815" s="1"/>
  <c r="AG15" i="815" s="1"/>
  <c r="E12" i="815"/>
  <c r="F12" i="815"/>
  <c r="G12" i="815"/>
  <c r="G14" i="815" s="1"/>
  <c r="H12" i="815"/>
  <c r="H15" i="815" s="1"/>
  <c r="I12" i="815"/>
  <c r="M13" i="815" s="1"/>
  <c r="J12" i="815"/>
  <c r="N13" i="815" s="1"/>
  <c r="K12" i="815"/>
  <c r="L12" i="815"/>
  <c r="M12" i="815"/>
  <c r="N12" i="815"/>
  <c r="O12" i="815"/>
  <c r="AI12" i="815" s="1"/>
  <c r="P12" i="815"/>
  <c r="P14" i="815" s="1"/>
  <c r="Q12" i="815"/>
  <c r="Q13" i="815" s="1"/>
  <c r="R12" i="815"/>
  <c r="R13" i="815" s="1"/>
  <c r="S12" i="815"/>
  <c r="S14" i="815" s="1"/>
  <c r="T12" i="815"/>
  <c r="T14" i="815" s="1"/>
  <c r="U12" i="815"/>
  <c r="U13" i="815" s="1"/>
  <c r="V12" i="815"/>
  <c r="V13" i="815" s="1"/>
  <c r="W12" i="815"/>
  <c r="W14" i="815" s="1"/>
  <c r="X12" i="815"/>
  <c r="X15" i="815" s="1"/>
  <c r="Y12" i="815"/>
  <c r="AC13" i="815" s="1"/>
  <c r="Z12" i="815"/>
  <c r="AD13" i="815" s="1"/>
  <c r="AA12" i="815"/>
  <c r="AB12" i="815"/>
  <c r="AC12" i="815"/>
  <c r="AD12" i="815"/>
  <c r="AE30" i="815"/>
  <c r="AE31" i="815" s="1"/>
  <c r="AE36" i="815" s="1"/>
  <c r="K13" i="815"/>
  <c r="L13" i="815"/>
  <c r="O13" i="815"/>
  <c r="P13" i="815"/>
  <c r="W13" i="815"/>
  <c r="AA13" i="815"/>
  <c r="AB13" i="815"/>
  <c r="E14" i="815"/>
  <c r="F14" i="815"/>
  <c r="H14" i="815"/>
  <c r="K14" i="815"/>
  <c r="L14" i="815"/>
  <c r="M14" i="815"/>
  <c r="N14" i="815"/>
  <c r="O14" i="815"/>
  <c r="U14" i="815"/>
  <c r="V14" i="815"/>
  <c r="X14" i="815"/>
  <c r="AA14" i="815"/>
  <c r="AB14" i="815"/>
  <c r="AC14" i="815"/>
  <c r="AD14" i="815"/>
  <c r="H51" i="815"/>
  <c r="I51" i="815"/>
  <c r="J51" i="815"/>
  <c r="K51" i="815"/>
  <c r="K15" i="815" s="1"/>
  <c r="L51" i="815"/>
  <c r="L15" i="815" s="1"/>
  <c r="M51" i="815"/>
  <c r="M15" i="815"/>
  <c r="N51" i="815"/>
  <c r="N15" i="815" s="1"/>
  <c r="O51" i="815"/>
  <c r="O15" i="815" s="1"/>
  <c r="P51" i="815"/>
  <c r="Q51" i="815"/>
  <c r="R51" i="815"/>
  <c r="R15" i="815"/>
  <c r="S51" i="815"/>
  <c r="T51" i="815"/>
  <c r="AK51" i="815" s="1"/>
  <c r="AK20" i="815" s="1"/>
  <c r="U51" i="815"/>
  <c r="U15" i="815"/>
  <c r="V51" i="815"/>
  <c r="V15" i="815" s="1"/>
  <c r="W51" i="815"/>
  <c r="W15" i="815"/>
  <c r="X51" i="815"/>
  <c r="Y51" i="815"/>
  <c r="Z51" i="815"/>
  <c r="AA51" i="815"/>
  <c r="AA15" i="815" s="1"/>
  <c r="AB51" i="815"/>
  <c r="AC51" i="815"/>
  <c r="AC15" i="815"/>
  <c r="AD51" i="815"/>
  <c r="AD15" i="815" s="1"/>
  <c r="D51" i="815"/>
  <c r="E51" i="815"/>
  <c r="F51" i="815"/>
  <c r="G51" i="815"/>
  <c r="AG51" i="815"/>
  <c r="AJ51" i="815"/>
  <c r="AJ20" i="815" s="1"/>
  <c r="AL51" i="815"/>
  <c r="AL20" i="815" s="1"/>
  <c r="AO17" i="815"/>
  <c r="AK18" i="815"/>
  <c r="AL18" i="815"/>
  <c r="T24" i="815" a="1"/>
  <c r="E24" i="815" a="1"/>
  <c r="U24" i="815" a="1"/>
  <c r="F24" i="815" a="1"/>
  <c r="V24" i="815" a="1"/>
  <c r="G24" i="815" a="1"/>
  <c r="W24" i="815" a="1"/>
  <c r="H24" i="815" a="1"/>
  <c r="X24" i="815" a="1"/>
  <c r="I24" i="815" a="1"/>
  <c r="Y24" i="815" a="1"/>
  <c r="J24" i="815" a="1"/>
  <c r="Z24" i="815" a="1"/>
  <c r="AB24" i="815" a="1"/>
  <c r="O24" i="815" a="1"/>
  <c r="K24" i="815" a="1"/>
  <c r="AA24" i="815" a="1"/>
  <c r="L24" i="815" a="1"/>
  <c r="M24" i="815" a="1"/>
  <c r="N24" i="815" a="1"/>
  <c r="P24" i="815" a="1"/>
  <c r="AH24" i="815" a="1"/>
  <c r="Q24" i="815" a="1"/>
  <c r="AI24" i="815" a="1"/>
  <c r="R24" i="815" a="1"/>
  <c r="AJ24" i="815" a="1"/>
  <c r="S24" i="815" a="1"/>
  <c r="AK24" i="815" a="1"/>
  <c r="AC23" i="815"/>
  <c r="AD23" i="815"/>
  <c r="AE23" i="815"/>
  <c r="AK24" i="815" l="1"/>
  <c r="S24" i="815"/>
  <c r="S30" i="815" s="1"/>
  <c r="S31" i="815" s="1"/>
  <c r="AJ24" i="815"/>
  <c r="R24" i="815"/>
  <c r="R25" i="815" s="1"/>
  <c r="AI24" i="815"/>
  <c r="AI30" i="815" s="1"/>
  <c r="Q24" i="815"/>
  <c r="AH24" i="815"/>
  <c r="AH25" i="815" s="1"/>
  <c r="P24" i="815"/>
  <c r="N24" i="815"/>
  <c r="N30" i="815" s="1"/>
  <c r="N31" i="815" s="1"/>
  <c r="M24" i="815"/>
  <c r="M25" i="815" s="1"/>
  <c r="L24" i="815"/>
  <c r="AA24" i="815"/>
  <c r="AA30" i="815" s="1"/>
  <c r="AA31" i="815" s="1"/>
  <c r="AA36" i="815" s="1"/>
  <c r="K24" i="815"/>
  <c r="O24" i="815"/>
  <c r="AB24" i="815"/>
  <c r="Z24" i="815"/>
  <c r="Z25" i="815" s="1"/>
  <c r="J24" i="815"/>
  <c r="Y24" i="815"/>
  <c r="Y25" i="815" s="1"/>
  <c r="I24" i="815"/>
  <c r="I30" i="815" s="1"/>
  <c r="I31" i="815" s="1"/>
  <c r="X24" i="815"/>
  <c r="X25" i="815" s="1"/>
  <c r="H24" i="815"/>
  <c r="H25" i="815" s="1"/>
  <c r="W24" i="815"/>
  <c r="G24" i="815"/>
  <c r="G30" i="815" s="1"/>
  <c r="G31" i="815" s="1"/>
  <c r="V24" i="815"/>
  <c r="V25" i="815" s="1"/>
  <c r="F24" i="815"/>
  <c r="F30" i="815" s="1"/>
  <c r="F31" i="815" s="1"/>
  <c r="U24" i="815"/>
  <c r="U30" i="815" s="1"/>
  <c r="U31" i="815" s="1"/>
  <c r="E24" i="815"/>
  <c r="T24" i="815"/>
  <c r="T25" i="815" s="1"/>
  <c r="Z14" i="815"/>
  <c r="J14" i="815"/>
  <c r="AI51" i="815"/>
  <c r="AJ52" i="815" s="1"/>
  <c r="AB15" i="815"/>
  <c r="T15" i="815"/>
  <c r="Y14" i="815"/>
  <c r="I14" i="815"/>
  <c r="Z13" i="815"/>
  <c r="J13" i="815"/>
  <c r="Y13" i="815"/>
  <c r="I13" i="815"/>
  <c r="AH51" i="815"/>
  <c r="AH52" i="815" s="1"/>
  <c r="S15" i="815"/>
  <c r="X13" i="815"/>
  <c r="H13" i="815"/>
  <c r="AK12" i="815"/>
  <c r="J15" i="815"/>
  <c r="AJ12" i="815"/>
  <c r="P17" i="815" s="1"/>
  <c r="Q15" i="815"/>
  <c r="R14" i="815"/>
  <c r="S13" i="815"/>
  <c r="AH12" i="815"/>
  <c r="AI13" i="815" s="1"/>
  <c r="Z15" i="815"/>
  <c r="AL12" i="815"/>
  <c r="Y15" i="815"/>
  <c r="T13" i="815"/>
  <c r="P15" i="815"/>
  <c r="Q14" i="815"/>
  <c r="I15" i="815"/>
  <c r="AG23" i="815"/>
  <c r="AG25" i="815" s="1"/>
  <c r="AH23" i="815"/>
  <c r="AI23" i="815"/>
  <c r="AJ23" i="815"/>
  <c r="AK23" i="815"/>
  <c r="AK25" i="815" s="1"/>
  <c r="AK26" i="815" s="1"/>
  <c r="AL23" i="815"/>
  <c r="AM23" i="815"/>
  <c r="AB25" i="815"/>
  <c r="AB27" i="815" s="1"/>
  <c r="D25" i="815"/>
  <c r="E25" i="815"/>
  <c r="G25" i="815"/>
  <c r="I25" i="815"/>
  <c r="I26" i="815" s="1"/>
  <c r="J25" i="815"/>
  <c r="K25" i="815"/>
  <c r="K26" i="815" s="1"/>
  <c r="L25" i="815"/>
  <c r="L27" i="815" s="1"/>
  <c r="O25" i="815"/>
  <c r="P25" i="815"/>
  <c r="P26" i="815" s="1"/>
  <c r="Q25" i="815"/>
  <c r="Q27" i="815" s="1"/>
  <c r="S25" i="815"/>
  <c r="S26" i="815" s="1"/>
  <c r="W25" i="815"/>
  <c r="W26" i="815" s="1"/>
  <c r="AA25" i="815"/>
  <c r="AA26" i="815" s="1"/>
  <c r="AC25" i="815"/>
  <c r="AD25" i="815"/>
  <c r="AE25" i="815"/>
  <c r="AI25" i="815"/>
  <c r="AJ25" i="815"/>
  <c r="AJ26" i="815" s="1"/>
  <c r="O26" i="815"/>
  <c r="AE26" i="815"/>
  <c r="E27" i="815"/>
  <c r="K27" i="815"/>
  <c r="P27" i="815"/>
  <c r="AC27" i="815"/>
  <c r="AD27" i="815"/>
  <c r="AE27" i="815"/>
  <c r="AG29" i="815"/>
  <c r="AH29" i="815"/>
  <c r="AI29" i="815"/>
  <c r="AJ29" i="815"/>
  <c r="AK29" i="815"/>
  <c r="AK31" i="815" s="1"/>
  <c r="AK32" i="815" s="1"/>
  <c r="AL29" i="815"/>
  <c r="AM29" i="815"/>
  <c r="D30" i="815"/>
  <c r="D31" i="815" s="1"/>
  <c r="D36" i="815" s="1"/>
  <c r="E30" i="815"/>
  <c r="H30" i="815"/>
  <c r="H31" i="815" s="1"/>
  <c r="J30" i="815"/>
  <c r="J31" i="815" s="1"/>
  <c r="K30" i="815"/>
  <c r="K31" i="815" s="1"/>
  <c r="L30" i="815"/>
  <c r="M30" i="815"/>
  <c r="O30" i="815"/>
  <c r="P30" i="815"/>
  <c r="P31" i="815" s="1"/>
  <c r="Q30" i="815"/>
  <c r="Q31" i="815" s="1"/>
  <c r="R30" i="815"/>
  <c r="R31" i="815" s="1"/>
  <c r="T30" i="815"/>
  <c r="T31" i="815" s="1"/>
  <c r="V30" i="815"/>
  <c r="W30" i="815"/>
  <c r="X30" i="815"/>
  <c r="X31" i="815" s="1"/>
  <c r="Z30" i="815"/>
  <c r="Z31" i="815" s="1"/>
  <c r="AB30" i="815"/>
  <c r="AB31" i="815" s="1"/>
  <c r="AC30" i="815"/>
  <c r="AC31" i="815" s="1"/>
  <c r="AD30" i="815"/>
  <c r="AD31" i="815" s="1"/>
  <c r="AG30" i="815"/>
  <c r="AH30" i="815"/>
  <c r="AJ30" i="815"/>
  <c r="AJ31" i="815" s="1"/>
  <c r="AK30" i="815"/>
  <c r="E31" i="815"/>
  <c r="E36" i="815" s="1"/>
  <c r="L31" i="815"/>
  <c r="M31" i="815"/>
  <c r="O31" i="815"/>
  <c r="O33" i="815" s="1"/>
  <c r="V31" i="815"/>
  <c r="W31" i="815"/>
  <c r="AG31" i="815"/>
  <c r="AH31" i="815"/>
  <c r="AH32" i="815" s="1"/>
  <c r="AE32" i="815"/>
  <c r="D35" i="815"/>
  <c r="E35" i="815"/>
  <c r="E37" i="815" s="1"/>
  <c r="F35" i="815"/>
  <c r="AG35" i="815" s="1"/>
  <c r="G35" i="815"/>
  <c r="H35" i="815"/>
  <c r="I35" i="815"/>
  <c r="J35" i="815"/>
  <c r="K35" i="815"/>
  <c r="L35" i="815"/>
  <c r="AI35" i="815" s="1"/>
  <c r="M35" i="815"/>
  <c r="M37" i="815" s="1"/>
  <c r="N35" i="815"/>
  <c r="O35" i="815"/>
  <c r="AH35" i="815"/>
  <c r="M36" i="815"/>
  <c r="V36" i="815"/>
  <c r="W36" i="815"/>
  <c r="AG42" i="815"/>
  <c r="AH42" i="815"/>
  <c r="AI42" i="815"/>
  <c r="AJ42" i="815"/>
  <c r="AK42" i="815"/>
  <c r="AL42" i="815"/>
  <c r="D43" i="815"/>
  <c r="AG43" i="815" s="1"/>
  <c r="E43" i="815"/>
  <c r="F43" i="815"/>
  <c r="G43" i="815"/>
  <c r="G44" i="815" s="1"/>
  <c r="H43" i="815"/>
  <c r="H44" i="815" s="1"/>
  <c r="I43" i="815"/>
  <c r="AH43" i="815" s="1"/>
  <c r="J43" i="815"/>
  <c r="K43" i="815"/>
  <c r="K44" i="815" s="1"/>
  <c r="L43" i="815"/>
  <c r="M43" i="815"/>
  <c r="N43" i="815"/>
  <c r="O43" i="815"/>
  <c r="AI43" i="815"/>
  <c r="E44" i="815"/>
  <c r="E50" i="815" s="1"/>
  <c r="F44" i="815"/>
  <c r="J44" i="815"/>
  <c r="J50" i="815" s="1"/>
  <c r="L44" i="815"/>
  <c r="AI44" i="815" s="1"/>
  <c r="M44" i="815"/>
  <c r="N44" i="815"/>
  <c r="N45" i="815" s="1"/>
  <c r="O44" i="815"/>
  <c r="F46" i="815"/>
  <c r="J47" i="815"/>
  <c r="L47" i="815"/>
  <c r="M47" i="815"/>
  <c r="N47" i="815"/>
  <c r="O47" i="815"/>
  <c r="D49" i="815"/>
  <c r="E49" i="815"/>
  <c r="F49" i="815"/>
  <c r="G49" i="815"/>
  <c r="H49" i="815"/>
  <c r="I49" i="815"/>
  <c r="J49" i="815"/>
  <c r="AH49" i="815" s="1"/>
  <c r="K49" i="815"/>
  <c r="L49" i="815"/>
  <c r="AI49" i="815" s="1"/>
  <c r="M49" i="815"/>
  <c r="N49" i="815"/>
  <c r="O49" i="815"/>
  <c r="AG49" i="815"/>
  <c r="F50" i="815"/>
  <c r="M50" i="815"/>
  <c r="N50" i="815"/>
  <c r="H52" i="815"/>
  <c r="I52" i="815"/>
  <c r="J52" i="815"/>
  <c r="K52" i="815"/>
  <c r="L52" i="815"/>
  <c r="M52" i="815"/>
  <c r="N52" i="815"/>
  <c r="O52" i="815"/>
  <c r="P52" i="815"/>
  <c r="Q52" i="815"/>
  <c r="R52" i="815"/>
  <c r="S52" i="815"/>
  <c r="T52" i="815"/>
  <c r="U52" i="815"/>
  <c r="V52" i="815"/>
  <c r="W52" i="815"/>
  <c r="X52" i="815"/>
  <c r="Y52" i="815"/>
  <c r="Z52" i="815"/>
  <c r="AA52" i="815"/>
  <c r="AB52" i="815"/>
  <c r="AC52" i="815"/>
  <c r="AD52" i="815"/>
  <c r="AI52" i="815"/>
  <c r="AK52" i="815"/>
  <c r="AL52" i="815"/>
  <c r="AE53" i="815"/>
  <c r="H26" i="815" l="1"/>
  <c r="H27" i="815"/>
  <c r="L26" i="815"/>
  <c r="AL25" i="815"/>
  <c r="X26" i="815"/>
  <c r="X27" i="815"/>
  <c r="AB26" i="815"/>
  <c r="D37" i="815"/>
  <c r="AD26" i="815"/>
  <c r="AA27" i="815"/>
  <c r="Z26" i="815"/>
  <c r="Z27" i="815"/>
  <c r="W32" i="815"/>
  <c r="AC26" i="815"/>
  <c r="E39" i="815"/>
  <c r="M32" i="815"/>
  <c r="I36" i="815"/>
  <c r="I37" i="815" s="1"/>
  <c r="I33" i="815"/>
  <c r="I32" i="815"/>
  <c r="X36" i="815"/>
  <c r="X32" i="815"/>
  <c r="X33" i="815"/>
  <c r="K47" i="815"/>
  <c r="K50" i="815"/>
  <c r="K46" i="815"/>
  <c r="K45" i="815"/>
  <c r="V32" i="815"/>
  <c r="T32" i="815"/>
  <c r="T33" i="815"/>
  <c r="T36" i="815"/>
  <c r="AI31" i="815"/>
  <c r="AI32" i="815" s="1"/>
  <c r="P20" i="815"/>
  <c r="P43" i="815"/>
  <c r="P35" i="815"/>
  <c r="P49" i="815"/>
  <c r="G36" i="815"/>
  <c r="G37" i="815" s="1"/>
  <c r="G33" i="815"/>
  <c r="H36" i="815"/>
  <c r="H32" i="815"/>
  <c r="H33" i="815"/>
  <c r="AC36" i="815"/>
  <c r="AC33" i="815"/>
  <c r="H46" i="815"/>
  <c r="H50" i="815"/>
  <c r="H47" i="815"/>
  <c r="K32" i="815"/>
  <c r="K33" i="815"/>
  <c r="O32" i="815"/>
  <c r="K36" i="815"/>
  <c r="K37" i="815" s="1"/>
  <c r="AD32" i="815"/>
  <c r="AD33" i="815"/>
  <c r="AE33" i="815"/>
  <c r="AD36" i="815"/>
  <c r="R27" i="815"/>
  <c r="AB32" i="815"/>
  <c r="AB33" i="815"/>
  <c r="AB36" i="815"/>
  <c r="AM36" i="815" s="1"/>
  <c r="AM31" i="815"/>
  <c r="AA33" i="815"/>
  <c r="Z36" i="815"/>
  <c r="Z32" i="815"/>
  <c r="R32" i="815"/>
  <c r="R33" i="815"/>
  <c r="R36" i="815"/>
  <c r="O45" i="815"/>
  <c r="G50" i="815"/>
  <c r="G46" i="815"/>
  <c r="M38" i="815"/>
  <c r="Q32" i="815"/>
  <c r="Q33" i="815"/>
  <c r="Q36" i="815"/>
  <c r="T26" i="815"/>
  <c r="T27" i="815"/>
  <c r="L32" i="815"/>
  <c r="P32" i="815"/>
  <c r="P33" i="815"/>
  <c r="P36" i="815"/>
  <c r="U36" i="815"/>
  <c r="U32" i="815"/>
  <c r="U33" i="815"/>
  <c r="M26" i="815"/>
  <c r="M27" i="815"/>
  <c r="Q26" i="815"/>
  <c r="AI47" i="815"/>
  <c r="F36" i="815"/>
  <c r="F37" i="815" s="1"/>
  <c r="F39" i="815" s="1"/>
  <c r="F33" i="815"/>
  <c r="N32" i="815"/>
  <c r="N33" i="815"/>
  <c r="N36" i="815"/>
  <c r="N37" i="815" s="1"/>
  <c r="AJ32" i="815"/>
  <c r="V26" i="815"/>
  <c r="AH26" i="815"/>
  <c r="AI26" i="815"/>
  <c r="J33" i="815"/>
  <c r="J36" i="815"/>
  <c r="J37" i="815" s="1"/>
  <c r="J32" i="815"/>
  <c r="Y27" i="815"/>
  <c r="S32" i="815"/>
  <c r="S33" i="815"/>
  <c r="S36" i="815"/>
  <c r="L45" i="815"/>
  <c r="J27" i="815"/>
  <c r="F25" i="815"/>
  <c r="F27" i="815" s="1"/>
  <c r="AK13" i="815"/>
  <c r="AK15" i="815"/>
  <c r="T17" i="815"/>
  <c r="U17" i="815"/>
  <c r="W17" i="815"/>
  <c r="O46" i="815"/>
  <c r="W33" i="815"/>
  <c r="I27" i="815"/>
  <c r="U25" i="815"/>
  <c r="AI15" i="815"/>
  <c r="N46" i="815"/>
  <c r="J45" i="815"/>
  <c r="I44" i="815"/>
  <c r="AH44" i="815" s="1"/>
  <c r="V33" i="815"/>
  <c r="E33" i="815"/>
  <c r="M46" i="815"/>
  <c r="W27" i="815"/>
  <c r="O50" i="815"/>
  <c r="L46" i="815"/>
  <c r="O36" i="815"/>
  <c r="O37" i="815" s="1"/>
  <c r="AM25" i="815"/>
  <c r="Y17" i="815"/>
  <c r="Z17" i="815"/>
  <c r="AL15" i="815"/>
  <c r="AL13" i="815"/>
  <c r="AA17" i="815"/>
  <c r="X17" i="815"/>
  <c r="L50" i="815"/>
  <c r="D44" i="815"/>
  <c r="L36" i="815"/>
  <c r="S27" i="815"/>
  <c r="N25" i="815"/>
  <c r="R26" i="815" s="1"/>
  <c r="AH13" i="815"/>
  <c r="AH15" i="815"/>
  <c r="M33" i="815"/>
  <c r="L33" i="815"/>
  <c r="AJ15" i="815"/>
  <c r="AJ13" i="815"/>
  <c r="R17" i="815"/>
  <c r="S17" i="815"/>
  <c r="Q17" i="815"/>
  <c r="V17" i="815"/>
  <c r="AA32" i="815"/>
  <c r="Y30" i="815"/>
  <c r="Y31" i="815" s="1"/>
  <c r="Z33" i="815" s="1"/>
  <c r="AH53" i="815"/>
  <c r="AI53" i="815"/>
  <c r="AJ53" i="815"/>
  <c r="AK53" i="815"/>
  <c r="AL53" i="815"/>
  <c r="AM53" i="815"/>
  <c r="E54" i="815"/>
  <c r="F54" i="815"/>
  <c r="G54" i="815"/>
  <c r="H54" i="815"/>
  <c r="I54" i="815"/>
  <c r="J54" i="815"/>
  <c r="K54" i="815"/>
  <c r="L54" i="815"/>
  <c r="M54" i="815"/>
  <c r="N54" i="815"/>
  <c r="O54" i="815"/>
  <c r="P54" i="815"/>
  <c r="Q54" i="815"/>
  <c r="R54" i="815"/>
  <c r="S54" i="815"/>
  <c r="T54" i="815"/>
  <c r="U54" i="815"/>
  <c r="V54" i="815"/>
  <c r="W54" i="815"/>
  <c r="X54" i="815"/>
  <c r="Y54" i="815"/>
  <c r="Z54" i="815"/>
  <c r="AA54" i="815"/>
  <c r="AB54" i="815"/>
  <c r="AC54" i="815"/>
  <c r="AD54" i="815"/>
  <c r="C5" i="832"/>
  <c r="Q5" i="832" s="1"/>
  <c r="D5" i="832"/>
  <c r="E5" i="832"/>
  <c r="F5" i="832"/>
  <c r="G5" i="832"/>
  <c r="H5" i="832"/>
  <c r="I5" i="832"/>
  <c r="J5" i="832"/>
  <c r="K5" i="832"/>
  <c r="L5" i="832"/>
  <c r="M5" i="832"/>
  <c r="N5" i="832"/>
  <c r="O5" i="832"/>
  <c r="O9" i="832" s="1"/>
  <c r="F8" i="832"/>
  <c r="F9" i="832" s="1"/>
  <c r="Q8" i="832"/>
  <c r="G8" i="832"/>
  <c r="G6" i="832" s="1"/>
  <c r="G7" i="832"/>
  <c r="R7" i="832" s="1"/>
  <c r="H8" i="832"/>
  <c r="H9" i="832" s="1"/>
  <c r="H7" i="832"/>
  <c r="I8" i="832"/>
  <c r="I6" i="832" s="1"/>
  <c r="I7" i="832"/>
  <c r="J8" i="832"/>
  <c r="J7" i="832"/>
  <c r="J6" i="832"/>
  <c r="C8" i="832"/>
  <c r="C6" i="832" s="1"/>
  <c r="C7" i="832"/>
  <c r="Q7" i="832" s="1"/>
  <c r="D8" i="832"/>
  <c r="D6" i="832" s="1"/>
  <c r="D7" i="832"/>
  <c r="E8" i="832"/>
  <c r="E6" i="832" s="1"/>
  <c r="E7" i="832"/>
  <c r="F7" i="832"/>
  <c r="K8" i="832"/>
  <c r="K6" i="832" s="1"/>
  <c r="S6" i="832" s="1"/>
  <c r="K7" i="832"/>
  <c r="L8" i="832"/>
  <c r="L9" i="832" s="1"/>
  <c r="L7" i="832"/>
  <c r="S7" i="832" s="1"/>
  <c r="L6" i="832"/>
  <c r="M8" i="832"/>
  <c r="M6" i="832" s="1"/>
  <c r="M7" i="832"/>
  <c r="N8" i="832"/>
  <c r="N6" i="832" s="1"/>
  <c r="N7" i="832"/>
  <c r="O8" i="832"/>
  <c r="O6" i="832" s="1"/>
  <c r="O7" i="832"/>
  <c r="C9" i="832"/>
  <c r="D9" i="832"/>
  <c r="E9" i="832"/>
  <c r="G9" i="832"/>
  <c r="I9" i="832"/>
  <c r="J9" i="832"/>
  <c r="AD2" i="753"/>
  <c r="D12" i="753"/>
  <c r="E12" i="753"/>
  <c r="F12" i="753"/>
  <c r="G12" i="753"/>
  <c r="H12" i="753"/>
  <c r="I12" i="753"/>
  <c r="J12" i="753"/>
  <c r="K12" i="753"/>
  <c r="L12" i="753"/>
  <c r="M12" i="753"/>
  <c r="N12" i="753"/>
  <c r="O12" i="753"/>
  <c r="P12" i="753"/>
  <c r="U12" i="753"/>
  <c r="V12" i="753"/>
  <c r="W12" i="753"/>
  <c r="X12" i="753"/>
  <c r="Y12" i="753"/>
  <c r="Z12" i="753"/>
  <c r="AA12" i="753"/>
  <c r="P27" i="753"/>
  <c r="Q24" i="753"/>
  <c r="D15" i="753"/>
  <c r="E15" i="753"/>
  <c r="F15" i="753"/>
  <c r="G15" i="753"/>
  <c r="H15" i="753"/>
  <c r="I15" i="753"/>
  <c r="J15" i="753"/>
  <c r="J54" i="753" s="1"/>
  <c r="K15" i="753"/>
  <c r="L15" i="753"/>
  <c r="M15" i="753"/>
  <c r="N15" i="753"/>
  <c r="N21" i="753" s="1"/>
  <c r="O15" i="753"/>
  <c r="O21" i="753" s="1"/>
  <c r="P15" i="753"/>
  <c r="P21" i="753" s="1"/>
  <c r="U15" i="753"/>
  <c r="V15" i="753"/>
  <c r="W15" i="753"/>
  <c r="X15" i="753"/>
  <c r="Y15" i="753"/>
  <c r="Z15" i="753"/>
  <c r="AA15" i="753"/>
  <c r="AA34" i="753" s="1"/>
  <c r="D16" i="753"/>
  <c r="E16" i="753"/>
  <c r="F16" i="753"/>
  <c r="G16" i="753"/>
  <c r="H16" i="753"/>
  <c r="I16" i="753"/>
  <c r="J16" i="753"/>
  <c r="K16" i="753"/>
  <c r="L16" i="753"/>
  <c r="M16" i="753"/>
  <c r="N16" i="753"/>
  <c r="O16" i="753"/>
  <c r="P16" i="753"/>
  <c r="V16" i="753"/>
  <c r="W16" i="753"/>
  <c r="X16" i="753"/>
  <c r="Y16" i="753"/>
  <c r="Z16" i="753"/>
  <c r="AA16" i="753"/>
  <c r="D17" i="753"/>
  <c r="E17" i="753"/>
  <c r="F17" i="753"/>
  <c r="G17" i="753"/>
  <c r="H17" i="753"/>
  <c r="I17" i="753"/>
  <c r="J17" i="753"/>
  <c r="K17" i="753"/>
  <c r="L17" i="753"/>
  <c r="M17" i="753"/>
  <c r="N17" i="753"/>
  <c r="O17" i="753"/>
  <c r="P17" i="753"/>
  <c r="V17" i="753"/>
  <c r="W17" i="753"/>
  <c r="X17" i="753"/>
  <c r="Y17" i="753"/>
  <c r="Z17" i="753"/>
  <c r="AA17" i="753"/>
  <c r="H20" i="753"/>
  <c r="I27" i="753"/>
  <c r="E27" i="753"/>
  <c r="I20" i="753"/>
  <c r="J27" i="753"/>
  <c r="J20" i="753" s="1"/>
  <c r="F27" i="753"/>
  <c r="G24" i="753" s="1"/>
  <c r="G26" i="753" s="1"/>
  <c r="K27" i="753"/>
  <c r="G27" i="753"/>
  <c r="K20" i="753"/>
  <c r="L27" i="753"/>
  <c r="L20" i="753" s="1"/>
  <c r="H27" i="753"/>
  <c r="M27" i="753"/>
  <c r="M20" i="753" s="1"/>
  <c r="N27" i="753"/>
  <c r="N20" i="753" s="1"/>
  <c r="O27" i="753"/>
  <c r="O20" i="753" s="1"/>
  <c r="V20" i="753"/>
  <c r="W20" i="753"/>
  <c r="X20" i="753"/>
  <c r="Y20" i="753"/>
  <c r="Z20" i="753"/>
  <c r="AA20" i="753"/>
  <c r="H21" i="753"/>
  <c r="I21" i="753"/>
  <c r="K21" i="753"/>
  <c r="L21" i="753"/>
  <c r="M21" i="753"/>
  <c r="V21" i="753"/>
  <c r="W21" i="753"/>
  <c r="X21" i="753"/>
  <c r="Y21" i="753"/>
  <c r="Z21" i="753"/>
  <c r="D24" i="753"/>
  <c r="D26" i="753" s="1"/>
  <c r="D27" i="753"/>
  <c r="E24" i="753" s="1"/>
  <c r="E26" i="753" s="1"/>
  <c r="F24" i="753"/>
  <c r="H24" i="753"/>
  <c r="H26" i="753" s="1"/>
  <c r="I24" i="753"/>
  <c r="I26" i="753" s="1"/>
  <c r="J24" i="753"/>
  <c r="K24" i="753"/>
  <c r="K26" i="753" s="1"/>
  <c r="L24" i="753"/>
  <c r="O24" i="753"/>
  <c r="P24" i="753"/>
  <c r="V24" i="753"/>
  <c r="V27" i="753"/>
  <c r="W24" i="753"/>
  <c r="W26" i="753" s="1"/>
  <c r="W27" i="753"/>
  <c r="X24" i="753" s="1"/>
  <c r="X26" i="753" s="1"/>
  <c r="X27" i="753"/>
  <c r="Y24" i="753"/>
  <c r="Y27" i="753"/>
  <c r="Y26" i="753" s="1"/>
  <c r="Z24" i="753"/>
  <c r="Z27" i="753"/>
  <c r="AA24" i="753"/>
  <c r="AA26" i="753" s="1"/>
  <c r="AA27" i="753"/>
  <c r="AB24" i="753" s="1"/>
  <c r="D25" i="753"/>
  <c r="E25" i="753"/>
  <c r="F25" i="753"/>
  <c r="G25" i="753"/>
  <c r="H25" i="753"/>
  <c r="I25" i="753"/>
  <c r="J25" i="753"/>
  <c r="K25" i="753"/>
  <c r="L25" i="753"/>
  <c r="M25" i="753"/>
  <c r="N25" i="753"/>
  <c r="O25" i="753"/>
  <c r="O26" i="753" s="1"/>
  <c r="P25" i="753"/>
  <c r="V25" i="753"/>
  <c r="W25" i="753"/>
  <c r="X25" i="753"/>
  <c r="Y25" i="753"/>
  <c r="Z25" i="753"/>
  <c r="AA25" i="753"/>
  <c r="J26" i="753"/>
  <c r="L26" i="753"/>
  <c r="P26" i="753"/>
  <c r="V26" i="753"/>
  <c r="Z26" i="753"/>
  <c r="U27" i="753"/>
  <c r="D34" i="753"/>
  <c r="D33" i="753" s="1"/>
  <c r="E34" i="753"/>
  <c r="E33" i="753" s="1"/>
  <c r="F34" i="753"/>
  <c r="F33" i="753" s="1"/>
  <c r="G34" i="753"/>
  <c r="G33" i="753" s="1"/>
  <c r="H34" i="753"/>
  <c r="H35" i="753" s="1"/>
  <c r="I34" i="753"/>
  <c r="I33" i="753" s="1"/>
  <c r="L34" i="753"/>
  <c r="L33" i="753" s="1"/>
  <c r="M34" i="753"/>
  <c r="M33" i="753" s="1"/>
  <c r="N34" i="753"/>
  <c r="N33" i="753" s="1"/>
  <c r="O34" i="753"/>
  <c r="O33" i="753" s="1"/>
  <c r="P34" i="753"/>
  <c r="P33" i="753" s="1"/>
  <c r="V34" i="753"/>
  <c r="V33" i="753" s="1"/>
  <c r="W34" i="753"/>
  <c r="W33" i="753" s="1"/>
  <c r="X34" i="753"/>
  <c r="X33" i="753" s="1"/>
  <c r="Y34" i="753"/>
  <c r="Y33" i="753" s="1"/>
  <c r="Z34" i="753"/>
  <c r="Z35" i="753" s="1"/>
  <c r="D35" i="753"/>
  <c r="E35" i="753"/>
  <c r="G35" i="753"/>
  <c r="I35" i="753"/>
  <c r="L35" i="753"/>
  <c r="M35" i="753"/>
  <c r="O35" i="753"/>
  <c r="V35" i="753"/>
  <c r="W35" i="753"/>
  <c r="X35" i="753"/>
  <c r="Y35" i="753"/>
  <c r="H39" i="753"/>
  <c r="I39" i="753"/>
  <c r="J39" i="753"/>
  <c r="K39" i="753"/>
  <c r="L39" i="753"/>
  <c r="M39" i="753"/>
  <c r="N39" i="753"/>
  <c r="O39" i="753"/>
  <c r="P39" i="753"/>
  <c r="W39" i="753"/>
  <c r="X39" i="753"/>
  <c r="Y39" i="753"/>
  <c r="Z39" i="753"/>
  <c r="AA39" i="753"/>
  <c r="H40" i="753"/>
  <c r="I40" i="753"/>
  <c r="L40" i="753"/>
  <c r="M40" i="753"/>
  <c r="P40" i="753"/>
  <c r="W40" i="753"/>
  <c r="K43" i="753"/>
  <c r="O43" i="753"/>
  <c r="O49" i="753" s="1"/>
  <c r="D44" i="753"/>
  <c r="D50" i="753" s="1"/>
  <c r="E44" i="753"/>
  <c r="E50" i="753" s="1"/>
  <c r="F44" i="753"/>
  <c r="F50" i="753" s="1"/>
  <c r="G44" i="753"/>
  <c r="G50" i="753" s="1"/>
  <c r="H44" i="753"/>
  <c r="I44" i="753"/>
  <c r="J44" i="753"/>
  <c r="K44" i="753"/>
  <c r="L44" i="753"/>
  <c r="M44" i="753"/>
  <c r="N44" i="753"/>
  <c r="P44" i="753"/>
  <c r="V44" i="753"/>
  <c r="V50" i="753" s="1"/>
  <c r="W44" i="753"/>
  <c r="X44" i="753"/>
  <c r="X50" i="753" s="1"/>
  <c r="Y44" i="753"/>
  <c r="Y50" i="753" s="1"/>
  <c r="Z44" i="753"/>
  <c r="Z50" i="753" s="1"/>
  <c r="AA44" i="753"/>
  <c r="D49" i="753"/>
  <c r="E49" i="753"/>
  <c r="F49" i="753"/>
  <c r="G49" i="753"/>
  <c r="H49" i="753"/>
  <c r="I49" i="753"/>
  <c r="J49" i="753"/>
  <c r="K49" i="753"/>
  <c r="L49" i="753"/>
  <c r="M49" i="753"/>
  <c r="N49" i="753"/>
  <c r="P49" i="753"/>
  <c r="Q49" i="753"/>
  <c r="R49" i="753"/>
  <c r="S49" i="753"/>
  <c r="V49" i="753"/>
  <c r="W49" i="753"/>
  <c r="X49" i="753"/>
  <c r="Y49" i="753"/>
  <c r="Z49" i="753"/>
  <c r="AA49" i="753"/>
  <c r="AB49" i="753"/>
  <c r="AC49" i="753"/>
  <c r="AD49" i="753"/>
  <c r="H50" i="753"/>
  <c r="I50" i="753"/>
  <c r="J50" i="753"/>
  <c r="K50" i="753"/>
  <c r="L50" i="753"/>
  <c r="M50" i="753"/>
  <c r="N50" i="753"/>
  <c r="P50" i="753"/>
  <c r="Q50" i="753"/>
  <c r="R50" i="753"/>
  <c r="S50" i="753"/>
  <c r="W50" i="753"/>
  <c r="AA50" i="753"/>
  <c r="AB50" i="753"/>
  <c r="AC50" i="753"/>
  <c r="AD50" i="753"/>
  <c r="D51" i="753"/>
  <c r="E51" i="753"/>
  <c r="F51" i="753"/>
  <c r="G51" i="753"/>
  <c r="H51" i="753"/>
  <c r="I51" i="753"/>
  <c r="J51" i="753"/>
  <c r="K51" i="753"/>
  <c r="L51" i="753"/>
  <c r="M51" i="753"/>
  <c r="N51" i="753"/>
  <c r="O51" i="753"/>
  <c r="P51" i="753"/>
  <c r="V51" i="753"/>
  <c r="W51" i="753"/>
  <c r="X51" i="753"/>
  <c r="Y51" i="753"/>
  <c r="Z51" i="753"/>
  <c r="AA51" i="753"/>
  <c r="D54" i="753"/>
  <c r="E54" i="753"/>
  <c r="F54" i="753"/>
  <c r="G54" i="753"/>
  <c r="H54" i="753"/>
  <c r="I54" i="753"/>
  <c r="K54" i="753"/>
  <c r="L54" i="753"/>
  <c r="M54" i="753"/>
  <c r="N54" i="753"/>
  <c r="O54" i="753"/>
  <c r="P54" i="753"/>
  <c r="V54" i="753"/>
  <c r="W54" i="753"/>
  <c r="X54" i="753"/>
  <c r="Y54" i="753"/>
  <c r="Z54" i="753"/>
  <c r="AA54" i="753"/>
  <c r="D57" i="753"/>
  <c r="E57" i="753"/>
  <c r="F57" i="753"/>
  <c r="G57" i="753"/>
  <c r="H57" i="753"/>
  <c r="I57" i="753"/>
  <c r="J57" i="753"/>
  <c r="K57" i="753"/>
  <c r="L57" i="753"/>
  <c r="M57" i="753"/>
  <c r="N57" i="753"/>
  <c r="O57" i="753"/>
  <c r="P57" i="753"/>
  <c r="V57" i="753"/>
  <c r="W57" i="753"/>
  <c r="X57" i="753"/>
  <c r="Y57" i="753"/>
  <c r="Z57" i="753"/>
  <c r="AA57" i="753"/>
  <c r="P66" i="753"/>
  <c r="Q63" i="753"/>
  <c r="D59" i="753"/>
  <c r="D60" i="753" s="1"/>
  <c r="E59" i="753"/>
  <c r="F59" i="753"/>
  <c r="G59" i="753"/>
  <c r="H59" i="753"/>
  <c r="I59" i="753"/>
  <c r="J59" i="753"/>
  <c r="K59" i="753"/>
  <c r="L59" i="753"/>
  <c r="M59" i="753"/>
  <c r="N59" i="753"/>
  <c r="N60" i="753" s="1"/>
  <c r="O59" i="753"/>
  <c r="P59" i="753"/>
  <c r="P60" i="753" s="1"/>
  <c r="V59" i="753"/>
  <c r="V60" i="753" s="1"/>
  <c r="W59" i="753"/>
  <c r="X59" i="753"/>
  <c r="Y59" i="753"/>
  <c r="Z59" i="753"/>
  <c r="AA59" i="753"/>
  <c r="E60" i="753"/>
  <c r="F60" i="753"/>
  <c r="G60" i="753"/>
  <c r="H60" i="753"/>
  <c r="I60" i="753"/>
  <c r="J60" i="753"/>
  <c r="K60" i="753"/>
  <c r="L60" i="753"/>
  <c r="M60" i="753"/>
  <c r="O60" i="753"/>
  <c r="W60" i="753"/>
  <c r="X60" i="753"/>
  <c r="Y60" i="753"/>
  <c r="Z60" i="753"/>
  <c r="AA60" i="753"/>
  <c r="D63" i="753"/>
  <c r="D66" i="753"/>
  <c r="E63" i="753"/>
  <c r="E66" i="753"/>
  <c r="F63" i="753"/>
  <c r="F66" i="753"/>
  <c r="G63" i="753" s="1"/>
  <c r="G65" i="753" s="1"/>
  <c r="G66" i="753"/>
  <c r="H63" i="753"/>
  <c r="H65" i="753" s="1"/>
  <c r="H66" i="753"/>
  <c r="I63" i="753"/>
  <c r="I66" i="753"/>
  <c r="J63" i="753" s="1"/>
  <c r="J66" i="753"/>
  <c r="K63" i="753" s="1"/>
  <c r="K65" i="753" s="1"/>
  <c r="K66" i="753"/>
  <c r="L63" i="753"/>
  <c r="L66" i="753"/>
  <c r="M63" i="753" s="1"/>
  <c r="M65" i="753" s="1"/>
  <c r="M66" i="753"/>
  <c r="N63" i="753" s="1"/>
  <c r="N65" i="753" s="1"/>
  <c r="N66" i="753"/>
  <c r="O63" i="753" s="1"/>
  <c r="O65" i="753" s="1"/>
  <c r="O66" i="753"/>
  <c r="P63" i="753"/>
  <c r="P65" i="753" s="1"/>
  <c r="V63" i="753"/>
  <c r="V66" i="753"/>
  <c r="W63" i="753" s="1"/>
  <c r="W65" i="753" s="1"/>
  <c r="W66" i="753"/>
  <c r="X63" i="753" s="1"/>
  <c r="X66" i="753"/>
  <c r="Y63" i="753" s="1"/>
  <c r="Y65" i="753" s="1"/>
  <c r="Y66" i="753"/>
  <c r="Z63" i="753"/>
  <c r="Z66" i="753"/>
  <c r="AA63" i="753" s="1"/>
  <c r="AA65" i="753" s="1"/>
  <c r="AA66" i="753"/>
  <c r="AB63" i="753"/>
  <c r="D64" i="753"/>
  <c r="E64" i="753"/>
  <c r="F64" i="753"/>
  <c r="G64" i="753"/>
  <c r="H64" i="753"/>
  <c r="I64" i="753"/>
  <c r="J64" i="753"/>
  <c r="K64" i="753"/>
  <c r="L64" i="753"/>
  <c r="L65" i="753" s="1"/>
  <c r="M64" i="753"/>
  <c r="N64" i="753"/>
  <c r="O64" i="753"/>
  <c r="P64" i="753"/>
  <c r="V64" i="753"/>
  <c r="W64" i="753"/>
  <c r="X64" i="753"/>
  <c r="Y64" i="753"/>
  <c r="Z64" i="753"/>
  <c r="AA64" i="753"/>
  <c r="D65" i="753"/>
  <c r="E65" i="753"/>
  <c r="F65" i="753"/>
  <c r="Z65" i="753"/>
  <c r="G75" i="753"/>
  <c r="H75" i="753" s="1"/>
  <c r="I75" i="753" s="1"/>
  <c r="J75" i="753" s="1"/>
  <c r="K75" i="753" s="1"/>
  <c r="L75" i="753" s="1"/>
  <c r="M75" i="753" s="1"/>
  <c r="N75" i="753" s="1"/>
  <c r="O75" i="753" s="1"/>
  <c r="V75" i="753"/>
  <c r="W75" i="753"/>
  <c r="X75" i="753" s="1"/>
  <c r="Y75" i="753" s="1"/>
  <c r="Z75" i="753" s="1"/>
  <c r="AA75" i="753" s="1"/>
  <c r="AB75" i="753" s="1"/>
  <c r="AC75" i="753" s="1"/>
  <c r="AD75" i="753" s="1"/>
  <c r="E77" i="753"/>
  <c r="S77" i="753"/>
  <c r="E78" i="753"/>
  <c r="E79" i="753" s="1"/>
  <c r="E80" i="753" s="1"/>
  <c r="E81" i="753" s="1"/>
  <c r="E82" i="753" s="1"/>
  <c r="E83" i="753" s="1"/>
  <c r="E84" i="753" s="1"/>
  <c r="E85" i="753" s="1"/>
  <c r="E86" i="753" s="1"/>
  <c r="E87" i="753" s="1"/>
  <c r="E88" i="753" s="1"/>
  <c r="E89" i="753" s="1"/>
  <c r="S78" i="753"/>
  <c r="S79" i="753"/>
  <c r="S80" i="753" s="1"/>
  <c r="S81" i="753" s="1"/>
  <c r="S82" i="753" s="1"/>
  <c r="S83" i="753" s="1"/>
  <c r="S84" i="753" s="1"/>
  <c r="S85" i="753" s="1"/>
  <c r="S86" i="753" s="1"/>
  <c r="S87" i="753" s="1"/>
  <c r="S88" i="753" s="1"/>
  <c r="S89" i="753" s="1"/>
  <c r="D99" i="753"/>
  <c r="E99" i="753"/>
  <c r="F99" i="753"/>
  <c r="G99" i="753"/>
  <c r="H99" i="753"/>
  <c r="I99" i="753"/>
  <c r="J99" i="753"/>
  <c r="K99" i="753"/>
  <c r="L99" i="753"/>
  <c r="M99" i="753"/>
  <c r="N99" i="753"/>
  <c r="O99" i="753"/>
  <c r="P99" i="753"/>
  <c r="U99" i="753"/>
  <c r="V99" i="753"/>
  <c r="W99" i="753"/>
  <c r="X99" i="753"/>
  <c r="Y99" i="753"/>
  <c r="Z99" i="753"/>
  <c r="AA99" i="753"/>
  <c r="D100" i="753"/>
  <c r="E100" i="753"/>
  <c r="F100" i="753"/>
  <c r="G100" i="753"/>
  <c r="H100" i="753"/>
  <c r="I100" i="753"/>
  <c r="J100" i="753"/>
  <c r="K100" i="753"/>
  <c r="L100" i="753"/>
  <c r="M100" i="753"/>
  <c r="N100" i="753"/>
  <c r="P100" i="753"/>
  <c r="U100" i="753"/>
  <c r="V100" i="753"/>
  <c r="W100" i="753"/>
  <c r="X100" i="753"/>
  <c r="Y100" i="753"/>
  <c r="Z100" i="753"/>
  <c r="AA100" i="753"/>
  <c r="D101" i="753"/>
  <c r="E101" i="753"/>
  <c r="F101" i="753"/>
  <c r="G101" i="753"/>
  <c r="H101" i="753"/>
  <c r="I101" i="753"/>
  <c r="J101" i="753"/>
  <c r="K101" i="753"/>
  <c r="L101" i="753"/>
  <c r="M101" i="753"/>
  <c r="N101" i="753"/>
  <c r="O101" i="753"/>
  <c r="P101" i="753"/>
  <c r="Q119" i="753"/>
  <c r="AA35" i="753" l="1"/>
  <c r="AA33" i="753"/>
  <c r="AA40" i="753"/>
  <c r="O38" i="815"/>
  <c r="O39" i="815"/>
  <c r="AH47" i="815"/>
  <c r="AH45" i="815"/>
  <c r="AI45" i="815"/>
  <c r="Q9" i="832"/>
  <c r="X65" i="753"/>
  <c r="N9" i="832"/>
  <c r="F6" i="832"/>
  <c r="Q6" i="832" s="1"/>
  <c r="Q19" i="815"/>
  <c r="Q20" i="815"/>
  <c r="Q43" i="815"/>
  <c r="Q44" i="815" s="1"/>
  <c r="Q35" i="815"/>
  <c r="Q37" i="815" s="1"/>
  <c r="Q49" i="815"/>
  <c r="U26" i="815"/>
  <c r="U27" i="815"/>
  <c r="AA18" i="815"/>
  <c r="AA19" i="815"/>
  <c r="AA20" i="815"/>
  <c r="AA21" i="815"/>
  <c r="AA35" i="815"/>
  <c r="AA37" i="815" s="1"/>
  <c r="AB17" i="815"/>
  <c r="AA49" i="815"/>
  <c r="AA43" i="815"/>
  <c r="AA44" i="815" s="1"/>
  <c r="P20" i="753"/>
  <c r="M9" i="832"/>
  <c r="S20" i="815"/>
  <c r="S19" i="815"/>
  <c r="S43" i="815"/>
  <c r="S44" i="815" s="1"/>
  <c r="S35" i="815"/>
  <c r="S37" i="815" s="1"/>
  <c r="S49" i="815"/>
  <c r="Y26" i="815"/>
  <c r="V65" i="753"/>
  <c r="J21" i="753"/>
  <c r="R19" i="815"/>
  <c r="R20" i="815"/>
  <c r="R43" i="815"/>
  <c r="R44" i="815" s="1"/>
  <c r="R35" i="815"/>
  <c r="R37" i="815" s="1"/>
  <c r="R49" i="815"/>
  <c r="AJ49" i="815" s="1"/>
  <c r="Z19" i="815"/>
  <c r="Z20" i="815"/>
  <c r="Z21" i="815"/>
  <c r="Z18" i="815"/>
  <c r="Z43" i="815"/>
  <c r="Z44" i="815" s="1"/>
  <c r="Z35" i="815"/>
  <c r="Z37" i="815" s="1"/>
  <c r="Z49" i="815"/>
  <c r="AG36" i="815"/>
  <c r="AC32" i="815"/>
  <c r="O44" i="753"/>
  <c r="O50" i="753" s="1"/>
  <c r="AA21" i="753"/>
  <c r="K9" i="832"/>
  <c r="Y20" i="815"/>
  <c r="Y18" i="815"/>
  <c r="Y21" i="815"/>
  <c r="Y19" i="815"/>
  <c r="Y49" i="815"/>
  <c r="Y43" i="815"/>
  <c r="Y44" i="815" s="1"/>
  <c r="Y35" i="815"/>
  <c r="Y37" i="815" s="1"/>
  <c r="G27" i="815"/>
  <c r="V18" i="815"/>
  <c r="V21" i="815"/>
  <c r="V20" i="815"/>
  <c r="V19" i="815"/>
  <c r="V43" i="815"/>
  <c r="V44" i="815" s="1"/>
  <c r="V35" i="815"/>
  <c r="V37" i="815" s="1"/>
  <c r="V49" i="815"/>
  <c r="N24" i="753"/>
  <c r="N26" i="753" s="1"/>
  <c r="AM26" i="815"/>
  <c r="AM24" i="815"/>
  <c r="W18" i="815"/>
  <c r="W19" i="815"/>
  <c r="W20" i="815"/>
  <c r="W21" i="815"/>
  <c r="W43" i="815"/>
  <c r="W44" i="815" s="1"/>
  <c r="W35" i="815"/>
  <c r="W37" i="815" s="1"/>
  <c r="W49" i="815"/>
  <c r="J39" i="815"/>
  <c r="J38" i="815"/>
  <c r="Z40" i="753"/>
  <c r="P35" i="753"/>
  <c r="K34" i="753"/>
  <c r="M24" i="753"/>
  <c r="M26" i="753" s="1"/>
  <c r="H6" i="832"/>
  <c r="R6" i="832" s="1"/>
  <c r="U18" i="815"/>
  <c r="U19" i="815"/>
  <c r="U20" i="815"/>
  <c r="U21" i="815"/>
  <c r="U43" i="815"/>
  <c r="U44" i="815" s="1"/>
  <c r="U35" i="815"/>
  <c r="U37" i="815" s="1"/>
  <c r="U49" i="815"/>
  <c r="F35" i="753"/>
  <c r="Y40" i="753"/>
  <c r="F26" i="753"/>
  <c r="T19" i="815"/>
  <c r="T18" i="815"/>
  <c r="T21" i="815"/>
  <c r="T20" i="815"/>
  <c r="T43" i="815"/>
  <c r="T35" i="815"/>
  <c r="T49" i="815"/>
  <c r="H37" i="815"/>
  <c r="AH36" i="815"/>
  <c r="AG37" i="815"/>
  <c r="X40" i="753"/>
  <c r="N35" i="753"/>
  <c r="J34" i="753"/>
  <c r="N40" i="753" s="1"/>
  <c r="O100" i="753"/>
  <c r="V27" i="815"/>
  <c r="AJ36" i="815"/>
  <c r="K39" i="815"/>
  <c r="K38" i="815"/>
  <c r="G39" i="815"/>
  <c r="J65" i="753"/>
  <c r="N26" i="815"/>
  <c r="N27" i="815"/>
  <c r="O27" i="815"/>
  <c r="AL31" i="815"/>
  <c r="AM32" i="815" s="1"/>
  <c r="I65" i="753"/>
  <c r="Z33" i="753"/>
  <c r="H33" i="753"/>
  <c r="P37" i="815"/>
  <c r="AJ35" i="815"/>
  <c r="AL26" i="815"/>
  <c r="AL24" i="815"/>
  <c r="R5" i="832"/>
  <c r="L37" i="815"/>
  <c r="AI36" i="815"/>
  <c r="N39" i="815"/>
  <c r="N38" i="815"/>
  <c r="P44" i="815"/>
  <c r="AG44" i="815"/>
  <c r="AG47" i="815" s="1"/>
  <c r="E46" i="815"/>
  <c r="D50" i="815"/>
  <c r="AG50" i="815" s="1"/>
  <c r="I50" i="815"/>
  <c r="AH50" i="815" s="1"/>
  <c r="I46" i="815"/>
  <c r="J46" i="815"/>
  <c r="I45" i="815"/>
  <c r="I47" i="815"/>
  <c r="M45" i="815"/>
  <c r="Y32" i="815"/>
  <c r="Y36" i="815"/>
  <c r="AL36" i="815" s="1"/>
  <c r="Y33" i="815"/>
  <c r="AI50" i="815"/>
  <c r="AM30" i="815"/>
  <c r="I38" i="815"/>
  <c r="X18" i="815"/>
  <c r="X19" i="815"/>
  <c r="X21" i="815"/>
  <c r="X20" i="815"/>
  <c r="X49" i="815"/>
  <c r="X43" i="815"/>
  <c r="X35" i="815"/>
  <c r="H45" i="815"/>
  <c r="AK36" i="815"/>
  <c r="J26" i="815"/>
  <c r="Q101" i="753"/>
  <c r="R119" i="753"/>
  <c r="U50" i="815" l="1"/>
  <c r="U46" i="815"/>
  <c r="U45" i="815"/>
  <c r="U47" i="815"/>
  <c r="P47" i="815"/>
  <c r="AJ44" i="815"/>
  <c r="AJ47" i="815" s="1"/>
  <c r="P50" i="815"/>
  <c r="H39" i="815"/>
  <c r="AH37" i="815"/>
  <c r="AH38" i="815" s="1"/>
  <c r="H38" i="815"/>
  <c r="R47" i="815"/>
  <c r="R50" i="815"/>
  <c r="R46" i="815"/>
  <c r="AJ43" i="815"/>
  <c r="AK49" i="815"/>
  <c r="AE37" i="815"/>
  <c r="AA39" i="815"/>
  <c r="AA40" i="815"/>
  <c r="AA38" i="815"/>
  <c r="AK35" i="815"/>
  <c r="T37" i="815"/>
  <c r="W50" i="815"/>
  <c r="W46" i="815"/>
  <c r="W45" i="815"/>
  <c r="W47" i="815"/>
  <c r="V38" i="815"/>
  <c r="V39" i="815"/>
  <c r="V40" i="815"/>
  <c r="V46" i="815"/>
  <c r="V45" i="815"/>
  <c r="V47" i="815"/>
  <c r="V50" i="815"/>
  <c r="S39" i="815"/>
  <c r="S40" i="815"/>
  <c r="J35" i="753"/>
  <c r="J33" i="753"/>
  <c r="J40" i="753"/>
  <c r="AC37" i="815"/>
  <c r="Y39" i="815"/>
  <c r="Y40" i="815"/>
  <c r="Y38" i="815"/>
  <c r="AK43" i="815"/>
  <c r="T44" i="815"/>
  <c r="O40" i="753"/>
  <c r="K35" i="753"/>
  <c r="K33" i="753"/>
  <c r="K40" i="753"/>
  <c r="AI37" i="815"/>
  <c r="AI38" i="815" s="1"/>
  <c r="L39" i="815"/>
  <c r="L38" i="815"/>
  <c r="M39" i="815"/>
  <c r="X37" i="815"/>
  <c r="AL35" i="815"/>
  <c r="R8" i="832"/>
  <c r="AL43" i="815"/>
  <c r="X44" i="815"/>
  <c r="AL49" i="815"/>
  <c r="Z39" i="815"/>
  <c r="Z40" i="815"/>
  <c r="AD37" i="815"/>
  <c r="Z38" i="815"/>
  <c r="S46" i="815"/>
  <c r="S47" i="815"/>
  <c r="S50" i="815"/>
  <c r="Q39" i="815"/>
  <c r="Q40" i="815"/>
  <c r="Z50" i="815"/>
  <c r="Z46" i="815"/>
  <c r="Z45" i="815"/>
  <c r="Z47" i="815"/>
  <c r="Q47" i="815"/>
  <c r="Q50" i="815"/>
  <c r="Q46" i="815"/>
  <c r="W39" i="815"/>
  <c r="W40" i="815"/>
  <c r="W38" i="815"/>
  <c r="U38" i="815"/>
  <c r="U39" i="815"/>
  <c r="U40" i="815"/>
  <c r="Y46" i="815"/>
  <c r="Y45" i="815"/>
  <c r="Y50" i="815"/>
  <c r="Y47" i="815"/>
  <c r="AJ37" i="815"/>
  <c r="AJ40" i="815" s="1"/>
  <c r="P40" i="815"/>
  <c r="AA47" i="815"/>
  <c r="AA46" i="815"/>
  <c r="AA50" i="815"/>
  <c r="AA45" i="815"/>
  <c r="I39" i="815"/>
  <c r="AL32" i="815"/>
  <c r="AL30" i="815"/>
  <c r="R40" i="815"/>
  <c r="R39" i="815"/>
  <c r="AB19" i="815"/>
  <c r="AB18" i="815"/>
  <c r="AC17" i="815"/>
  <c r="AB21" i="815"/>
  <c r="AB20" i="815"/>
  <c r="AB43" i="815"/>
  <c r="AB35" i="815"/>
  <c r="AB49" i="815"/>
  <c r="R101" i="753"/>
  <c r="S119" i="753"/>
  <c r="AE35" i="815" l="1"/>
  <c r="AE39" i="815"/>
  <c r="AD35" i="815"/>
  <c r="AD39" i="815"/>
  <c r="AD40" i="815"/>
  <c r="T46" i="815"/>
  <c r="T45" i="815"/>
  <c r="AK44" i="815"/>
  <c r="T47" i="815"/>
  <c r="T50" i="815"/>
  <c r="AK50" i="815" s="1"/>
  <c r="AB44" i="815"/>
  <c r="AC21" i="815"/>
  <c r="AC18" i="815"/>
  <c r="AD17" i="815"/>
  <c r="AC19" i="815"/>
  <c r="AC20" i="815"/>
  <c r="AC49" i="815"/>
  <c r="AC43" i="815"/>
  <c r="AC44" i="815" s="1"/>
  <c r="X46" i="815"/>
  <c r="X45" i="815"/>
  <c r="AL44" i="815"/>
  <c r="X50" i="815"/>
  <c r="AL50" i="815" s="1"/>
  <c r="X47" i="815"/>
  <c r="AB37" i="815"/>
  <c r="R9" i="832"/>
  <c r="S5" i="832"/>
  <c r="S8" i="832" s="1"/>
  <c r="S9" i="832" s="1"/>
  <c r="AC35" i="815"/>
  <c r="AM35" i="815" s="1"/>
  <c r="AC39" i="815"/>
  <c r="AC40" i="815"/>
  <c r="AJ50" i="815"/>
  <c r="X39" i="815"/>
  <c r="X40" i="815"/>
  <c r="X38" i="815"/>
  <c r="AL37" i="815"/>
  <c r="T38" i="815"/>
  <c r="AK37" i="815"/>
  <c r="T39" i="815"/>
  <c r="T40" i="815"/>
  <c r="S101" i="753"/>
  <c r="U101" i="753"/>
  <c r="V101" i="753"/>
  <c r="W101" i="753"/>
  <c r="X101" i="753"/>
  <c r="Y101" i="753"/>
  <c r="Z101" i="753"/>
  <c r="AA101" i="753"/>
  <c r="AB101" i="753"/>
  <c r="AB108" i="753"/>
  <c r="AC105" i="753"/>
  <c r="AC119" i="753"/>
  <c r="AE12" i="815" l="1"/>
  <c r="AE17" i="815"/>
  <c r="AC47" i="815"/>
  <c r="AC50" i="815"/>
  <c r="AC46" i="815"/>
  <c r="AC45" i="815"/>
  <c r="AD19" i="815"/>
  <c r="AD20" i="815"/>
  <c r="AD21" i="815"/>
  <c r="AD18" i="815"/>
  <c r="AD49" i="815"/>
  <c r="AD43" i="815"/>
  <c r="AD44" i="815" s="1"/>
  <c r="AB50" i="815"/>
  <c r="AB46" i="815"/>
  <c r="AB45" i="815"/>
  <c r="AB47" i="815"/>
  <c r="AB39" i="815"/>
  <c r="AB40" i="815"/>
  <c r="AM37" i="815"/>
  <c r="AB38" i="815"/>
  <c r="AK40" i="815"/>
  <c r="AK38" i="815"/>
  <c r="AK45" i="815"/>
  <c r="AK47" i="815"/>
  <c r="AL45" i="815"/>
  <c r="AL47" i="815"/>
  <c r="AL40" i="815"/>
  <c r="AL38" i="815"/>
  <c r="AC106" i="753"/>
  <c r="AC108" i="753" s="1"/>
  <c r="AD119" i="753"/>
  <c r="AC101" i="753" l="1"/>
  <c r="AD105" i="753"/>
  <c r="AD108" i="753" s="1"/>
  <c r="AD47" i="815"/>
  <c r="AD50" i="815"/>
  <c r="AD46" i="815"/>
  <c r="AD45" i="815"/>
  <c r="AM49" i="815"/>
  <c r="AM38" i="815"/>
  <c r="AE18" i="815"/>
  <c r="AE19" i="815"/>
  <c r="AE21" i="815"/>
  <c r="AE49" i="815"/>
  <c r="AE43" i="815"/>
  <c r="AM43" i="815" s="1"/>
  <c r="AE40" i="815"/>
  <c r="AM17" i="815"/>
  <c r="AM40" i="815" s="1"/>
  <c r="AE13" i="815"/>
  <c r="AM12" i="815"/>
  <c r="AE14" i="815"/>
  <c r="AD106" i="753"/>
  <c r="D102" i="753"/>
  <c r="E102" i="753"/>
  <c r="F102" i="753"/>
  <c r="G102" i="753"/>
  <c r="H102" i="753"/>
  <c r="I102" i="753"/>
  <c r="J102" i="753"/>
  <c r="K102" i="753"/>
  <c r="L102" i="753"/>
  <c r="M102" i="753"/>
  <c r="N102" i="753"/>
  <c r="O102" i="753"/>
  <c r="P102" i="753"/>
  <c r="V102" i="753"/>
  <c r="W102" i="753"/>
  <c r="X102" i="753"/>
  <c r="Y102" i="753"/>
  <c r="Z102" i="753"/>
  <c r="AA102" i="753"/>
  <c r="D105" i="753"/>
  <c r="D108" i="753"/>
  <c r="E105" i="753" s="1"/>
  <c r="E108" i="753"/>
  <c r="F105" i="753" s="1"/>
  <c r="F108" i="753"/>
  <c r="G105" i="753" s="1"/>
  <c r="G108" i="753"/>
  <c r="G107" i="753" s="1"/>
  <c r="H105" i="753"/>
  <c r="H108" i="753"/>
  <c r="I105" i="753" s="1"/>
  <c r="I107" i="753" s="1"/>
  <c r="I108" i="753"/>
  <c r="J105" i="753" s="1"/>
  <c r="J108" i="753"/>
  <c r="J107" i="753" s="1"/>
  <c r="K108" i="753"/>
  <c r="L105" i="753" s="1"/>
  <c r="L107" i="753" s="1"/>
  <c r="L108" i="753"/>
  <c r="M105" i="753"/>
  <c r="M108" i="753"/>
  <c r="N105" i="753" s="1"/>
  <c r="N108" i="753"/>
  <c r="O105" i="753" s="1"/>
  <c r="O108" i="753"/>
  <c r="O107" i="753" s="1"/>
  <c r="P105" i="753"/>
  <c r="P108" i="753"/>
  <c r="Q105" i="753" s="1"/>
  <c r="Q108" i="753" s="1"/>
  <c r="Q106" i="753"/>
  <c r="R106" i="753"/>
  <c r="V105" i="753"/>
  <c r="V108" i="753"/>
  <c r="W105" i="753"/>
  <c r="W108" i="753"/>
  <c r="X105" i="753"/>
  <c r="X108" i="753"/>
  <c r="Y105" i="753" s="1"/>
  <c r="Y108" i="753"/>
  <c r="Y107" i="753" s="1"/>
  <c r="Z108" i="753"/>
  <c r="AA105" i="753"/>
  <c r="AA108" i="753"/>
  <c r="AA110" i="753" s="1"/>
  <c r="AB105" i="753"/>
  <c r="AB107" i="753" s="1"/>
  <c r="D119" i="753"/>
  <c r="D123" i="753" s="1"/>
  <c r="H129" i="753" s="1"/>
  <c r="D106" i="753"/>
  <c r="D107" i="753" s="1"/>
  <c r="E119" i="753"/>
  <c r="E106" i="753" s="1"/>
  <c r="F119" i="753"/>
  <c r="F106" i="753"/>
  <c r="G119" i="753"/>
  <c r="G106" i="753"/>
  <c r="H119" i="753"/>
  <c r="H106" i="753" s="1"/>
  <c r="I119" i="753"/>
  <c r="I106" i="753" s="1"/>
  <c r="J119" i="753"/>
  <c r="J106" i="753"/>
  <c r="K119" i="753"/>
  <c r="K106" i="753"/>
  <c r="L119" i="753"/>
  <c r="L123" i="753" s="1"/>
  <c r="L106" i="753"/>
  <c r="M119" i="753"/>
  <c r="M106" i="753" s="1"/>
  <c r="M107" i="753" s="1"/>
  <c r="N119" i="753"/>
  <c r="N106" i="753"/>
  <c r="O119" i="753"/>
  <c r="O106" i="753"/>
  <c r="P119" i="753"/>
  <c r="P106" i="753" s="1"/>
  <c r="S106" i="753"/>
  <c r="V119" i="753"/>
  <c r="V123" i="753" s="1"/>
  <c r="W119" i="753"/>
  <c r="W106" i="753" s="1"/>
  <c r="W107" i="753" s="1"/>
  <c r="X119" i="753"/>
  <c r="X106" i="753"/>
  <c r="Y119" i="753"/>
  <c r="Y106" i="753" s="1"/>
  <c r="Z119" i="753"/>
  <c r="Z106" i="753" s="1"/>
  <c r="AA119" i="753"/>
  <c r="AA106" i="753" s="1"/>
  <c r="AA107" i="753" s="1"/>
  <c r="AB119" i="753"/>
  <c r="AB106" i="753" s="1"/>
  <c r="X107" i="753"/>
  <c r="U108" i="753"/>
  <c r="D109" i="753"/>
  <c r="D110" i="753" s="1"/>
  <c r="E109" i="753"/>
  <c r="F109" i="753"/>
  <c r="G109" i="753"/>
  <c r="H109" i="753"/>
  <c r="H111" i="753" s="1"/>
  <c r="I109" i="753"/>
  <c r="J109" i="753"/>
  <c r="J111" i="753" s="1"/>
  <c r="K109" i="753"/>
  <c r="L109" i="753"/>
  <c r="L110" i="753" s="1"/>
  <c r="M109" i="753"/>
  <c r="N109" i="753"/>
  <c r="O109" i="753"/>
  <c r="O110" i="753" s="1"/>
  <c r="P109" i="753"/>
  <c r="P111" i="753" s="1"/>
  <c r="Q111" i="753"/>
  <c r="R111" i="753"/>
  <c r="S111" i="753"/>
  <c r="U109" i="753"/>
  <c r="U110" i="753" s="1"/>
  <c r="V125" i="753" s="1"/>
  <c r="V109" i="753"/>
  <c r="W109" i="753"/>
  <c r="X109" i="753"/>
  <c r="Y109" i="753"/>
  <c r="Z109" i="753"/>
  <c r="Z110" i="753" s="1"/>
  <c r="AA109" i="753"/>
  <c r="AC111" i="753"/>
  <c r="AC109" i="753" s="1"/>
  <c r="AC110" i="753" s="1"/>
  <c r="AD111" i="753"/>
  <c r="E110" i="753"/>
  <c r="G110" i="753"/>
  <c r="H110" i="753"/>
  <c r="M110" i="753"/>
  <c r="N110" i="753"/>
  <c r="N125" i="753" s="1"/>
  <c r="P110" i="753"/>
  <c r="V110" i="753"/>
  <c r="W110" i="753"/>
  <c r="X110" i="753"/>
  <c r="X125" i="753" s="1"/>
  <c r="Y110" i="753"/>
  <c r="Y125" i="753" s="1"/>
  <c r="D111" i="753"/>
  <c r="E111" i="753"/>
  <c r="F111" i="753"/>
  <c r="G111" i="753"/>
  <c r="I111" i="753"/>
  <c r="K111" i="753"/>
  <c r="L111" i="753"/>
  <c r="M111" i="753"/>
  <c r="N111" i="753"/>
  <c r="V111" i="753"/>
  <c r="W111" i="753"/>
  <c r="X111" i="753"/>
  <c r="Y111" i="753"/>
  <c r="Z111" i="753"/>
  <c r="AA111" i="753"/>
  <c r="J114" i="753"/>
  <c r="K114" i="753"/>
  <c r="L114" i="753"/>
  <c r="M114" i="753"/>
  <c r="V114" i="753"/>
  <c r="W114" i="753"/>
  <c r="X114" i="753"/>
  <c r="AA114" i="753"/>
  <c r="AB114" i="753"/>
  <c r="AC114" i="753"/>
  <c r="W115" i="753"/>
  <c r="X115" i="753"/>
  <c r="Y115" i="753"/>
  <c r="D117" i="753"/>
  <c r="E117" i="753"/>
  <c r="F117" i="753"/>
  <c r="G117" i="753"/>
  <c r="H117" i="753"/>
  <c r="I117" i="753"/>
  <c r="J117" i="753"/>
  <c r="K117" i="753"/>
  <c r="L117" i="753"/>
  <c r="M117" i="753"/>
  <c r="N117" i="753"/>
  <c r="O117" i="753"/>
  <c r="P117" i="753"/>
  <c r="V117" i="753"/>
  <c r="W117" i="753"/>
  <c r="X117" i="753"/>
  <c r="Y117" i="753"/>
  <c r="Z117" i="753"/>
  <c r="AA117" i="753"/>
  <c r="D118" i="753"/>
  <c r="E118" i="753"/>
  <c r="F118" i="753"/>
  <c r="G118" i="753"/>
  <c r="H118" i="753"/>
  <c r="I118" i="753"/>
  <c r="J118" i="753"/>
  <c r="K118" i="753"/>
  <c r="L118" i="753"/>
  <c r="M118" i="753"/>
  <c r="N118" i="753"/>
  <c r="O118" i="753"/>
  <c r="P118" i="753"/>
  <c r="V118" i="753"/>
  <c r="W118" i="753"/>
  <c r="X118" i="753"/>
  <c r="Y118" i="753"/>
  <c r="Z118" i="753"/>
  <c r="AA118" i="753"/>
  <c r="D120" i="753"/>
  <c r="E120" i="753"/>
  <c r="F120" i="753"/>
  <c r="G120" i="753"/>
  <c r="H120" i="753"/>
  <c r="I120" i="753"/>
  <c r="J120" i="753"/>
  <c r="K120" i="753"/>
  <c r="L120" i="753"/>
  <c r="M120" i="753"/>
  <c r="N120" i="753"/>
  <c r="O120" i="753"/>
  <c r="P120" i="753"/>
  <c r="Q120" i="753"/>
  <c r="R120" i="753" s="1"/>
  <c r="S120" i="753" s="1"/>
  <c r="V120" i="753"/>
  <c r="W120" i="753"/>
  <c r="X120" i="753"/>
  <c r="Y120" i="753"/>
  <c r="Z120" i="753"/>
  <c r="AA120" i="753"/>
  <c r="E123" i="753"/>
  <c r="F123" i="753"/>
  <c r="J129" i="753" s="1"/>
  <c r="G123" i="753"/>
  <c r="K129" i="753" s="1"/>
  <c r="H123" i="753"/>
  <c r="H124" i="753" s="1"/>
  <c r="I123" i="753"/>
  <c r="M129" i="753" s="1"/>
  <c r="J123" i="753"/>
  <c r="K123" i="753"/>
  <c r="M123" i="753"/>
  <c r="Q129" i="753" s="1"/>
  <c r="N123" i="753"/>
  <c r="R129" i="753" s="1"/>
  <c r="O123" i="753"/>
  <c r="S129" i="753" s="1"/>
  <c r="P123" i="753"/>
  <c r="Q123" i="753"/>
  <c r="R123" i="753"/>
  <c r="S123" i="753"/>
  <c r="W123" i="753"/>
  <c r="W129" i="753" s="1"/>
  <c r="X123" i="753"/>
  <c r="X129" i="753" s="1"/>
  <c r="Y123" i="753"/>
  <c r="Z123" i="753"/>
  <c r="AA123" i="753"/>
  <c r="AC123" i="753"/>
  <c r="AD123" i="753"/>
  <c r="H125" i="753"/>
  <c r="W125" i="753"/>
  <c r="I129" i="753"/>
  <c r="N129" i="753"/>
  <c r="O129" i="753"/>
  <c r="Y129" i="753"/>
  <c r="Z129" i="753"/>
  <c r="AA129" i="753"/>
  <c r="AD129" i="753"/>
  <c r="D132" i="753"/>
  <c r="E132" i="753"/>
  <c r="F132" i="753"/>
  <c r="G132" i="753"/>
  <c r="H132" i="753"/>
  <c r="I132" i="753"/>
  <c r="J132" i="753"/>
  <c r="K132" i="753"/>
  <c r="L132" i="753"/>
  <c r="M132" i="753"/>
  <c r="N132" i="753"/>
  <c r="O132" i="753"/>
  <c r="P132" i="753"/>
  <c r="V132" i="753"/>
  <c r="W132" i="753"/>
  <c r="X132" i="753"/>
  <c r="Y132" i="753"/>
  <c r="Z132" i="753"/>
  <c r="AA132" i="753"/>
  <c r="D133" i="753"/>
  <c r="E133" i="753"/>
  <c r="F133" i="753"/>
  <c r="G133" i="753"/>
  <c r="H133" i="753"/>
  <c r="I133" i="753"/>
  <c r="J133" i="753"/>
  <c r="K133" i="753"/>
  <c r="L133" i="753"/>
  <c r="M133" i="753"/>
  <c r="N133" i="753"/>
  <c r="O133" i="753"/>
  <c r="P133" i="753"/>
  <c r="V133" i="753"/>
  <c r="W133" i="753"/>
  <c r="X133" i="753"/>
  <c r="Y133" i="753"/>
  <c r="Z133" i="753"/>
  <c r="AA133" i="753"/>
  <c r="D134" i="753"/>
  <c r="E134" i="753"/>
  <c r="F134" i="753"/>
  <c r="G134" i="753"/>
  <c r="H134" i="753"/>
  <c r="I134" i="753"/>
  <c r="J134" i="753"/>
  <c r="K134" i="753"/>
  <c r="L134" i="753"/>
  <c r="M134" i="753"/>
  <c r="N134" i="753"/>
  <c r="O134" i="753"/>
  <c r="P134" i="753"/>
  <c r="P135" i="753"/>
  <c r="Q135" i="753"/>
  <c r="V124" i="753" l="1"/>
  <c r="V126" i="753"/>
  <c r="G125" i="753"/>
  <c r="V115" i="753"/>
  <c r="P125" i="753"/>
  <c r="O115" i="753"/>
  <c r="O125" i="753"/>
  <c r="D125" i="753"/>
  <c r="E125" i="753"/>
  <c r="H115" i="753"/>
  <c r="L115" i="753"/>
  <c r="P115" i="753"/>
  <c r="L125" i="753"/>
  <c r="M125" i="753"/>
  <c r="Y124" i="753"/>
  <c r="Y130" i="753"/>
  <c r="Y126" i="753"/>
  <c r="Z125" i="753"/>
  <c r="Z115" i="753"/>
  <c r="E107" i="753"/>
  <c r="Q114" i="753"/>
  <c r="Q109" i="753"/>
  <c r="Q110" i="753" s="1"/>
  <c r="R105" i="753"/>
  <c r="R108" i="753" s="1"/>
  <c r="AB120" i="753"/>
  <c r="AC120" i="753" s="1"/>
  <c r="AD120" i="753" s="1"/>
  <c r="W130" i="753"/>
  <c r="AA125" i="753"/>
  <c r="AA115" i="753"/>
  <c r="N126" i="753"/>
  <c r="N124" i="753"/>
  <c r="L129" i="753"/>
  <c r="P129" i="753"/>
  <c r="AD109" i="753"/>
  <c r="AD110" i="753" s="1"/>
  <c r="AD101" i="753"/>
  <c r="AD114" i="753"/>
  <c r="X130" i="753"/>
  <c r="X126" i="753"/>
  <c r="X124" i="753"/>
  <c r="H130" i="753"/>
  <c r="AC129" i="753"/>
  <c r="P114" i="753"/>
  <c r="K110" i="753"/>
  <c r="P107" i="753"/>
  <c r="O114" i="753"/>
  <c r="J110" i="753"/>
  <c r="H126" i="753"/>
  <c r="U111" i="753"/>
  <c r="N114" i="753"/>
  <c r="O111" i="753"/>
  <c r="I110" i="753"/>
  <c r="N107" i="753"/>
  <c r="W126" i="753"/>
  <c r="W124" i="753"/>
  <c r="F110" i="753"/>
  <c r="F125" i="753" s="1"/>
  <c r="K105" i="753"/>
  <c r="K107" i="753" s="1"/>
  <c r="I114" i="753"/>
  <c r="Z114" i="753"/>
  <c r="H114" i="753"/>
  <c r="H107" i="753"/>
  <c r="AB123" i="753"/>
  <c r="AB129" i="753" s="1"/>
  <c r="Y114" i="753"/>
  <c r="V106" i="753"/>
  <c r="V107" i="753" s="1"/>
  <c r="F107" i="753"/>
  <c r="Z105" i="753"/>
  <c r="Z107" i="753" s="1"/>
  <c r="AM13" i="815"/>
  <c r="AM18" i="815"/>
  <c r="Q134" i="753"/>
  <c r="R135" i="753"/>
  <c r="Q125" i="753" l="1"/>
  <c r="Q115" i="753"/>
  <c r="AD115" i="753"/>
  <c r="AD125" i="753"/>
  <c r="P130" i="753"/>
  <c r="P124" i="753"/>
  <c r="P126" i="753"/>
  <c r="G124" i="753"/>
  <c r="G126" i="753"/>
  <c r="I125" i="753"/>
  <c r="I115" i="753"/>
  <c r="M115" i="753"/>
  <c r="Z124" i="753"/>
  <c r="Z130" i="753"/>
  <c r="Z126" i="753"/>
  <c r="N115" i="753"/>
  <c r="J125" i="753"/>
  <c r="J115" i="753"/>
  <c r="K125" i="753"/>
  <c r="K115" i="753"/>
  <c r="M126" i="753"/>
  <c r="M124" i="753"/>
  <c r="AA126" i="753"/>
  <c r="AA124" i="753"/>
  <c r="AA130" i="753"/>
  <c r="L126" i="753"/>
  <c r="L124" i="753"/>
  <c r="L130" i="753"/>
  <c r="F126" i="753"/>
  <c r="F124" i="753"/>
  <c r="R114" i="753"/>
  <c r="R109" i="753"/>
  <c r="R110" i="753" s="1"/>
  <c r="S105" i="753"/>
  <c r="S108" i="753" s="1"/>
  <c r="E124" i="753"/>
  <c r="E126" i="753"/>
  <c r="D124" i="753"/>
  <c r="D126" i="753"/>
  <c r="O124" i="753"/>
  <c r="O126" i="753"/>
  <c r="R134" i="753"/>
  <c r="S135" i="753"/>
  <c r="R125" i="753" l="1"/>
  <c r="R115" i="753"/>
  <c r="K130" i="753"/>
  <c r="K124" i="753"/>
  <c r="K126" i="753"/>
  <c r="AD126" i="753"/>
  <c r="AD124" i="753"/>
  <c r="S114" i="753"/>
  <c r="S109" i="753"/>
  <c r="AB109" i="753" s="1"/>
  <c r="AB111" i="753" s="1"/>
  <c r="J124" i="753"/>
  <c r="J130" i="753"/>
  <c r="J126" i="753"/>
  <c r="N130" i="753"/>
  <c r="Q124" i="753"/>
  <c r="Q126" i="753"/>
  <c r="Q130" i="753"/>
  <c r="O130" i="753"/>
  <c r="I126" i="753"/>
  <c r="I124" i="753"/>
  <c r="I130" i="753"/>
  <c r="M130" i="753"/>
  <c r="S134" i="753"/>
  <c r="V134" i="753"/>
  <c r="W134" i="753"/>
  <c r="X134" i="753"/>
  <c r="Y134" i="753"/>
  <c r="Z134" i="753"/>
  <c r="AA134" i="753"/>
  <c r="AB134" i="753"/>
  <c r="AB135" i="753"/>
  <c r="AC135" i="753"/>
  <c r="R124" i="753" l="1"/>
  <c r="R126" i="753"/>
  <c r="R130" i="753"/>
  <c r="S110" i="753"/>
  <c r="AC134" i="753"/>
  <c r="AD135" i="753"/>
  <c r="S115" i="753" l="1"/>
  <c r="S125" i="753"/>
  <c r="AB110" i="753"/>
  <c r="AD134" i="753"/>
  <c r="AD140" i="753" s="1"/>
  <c r="D135" i="753"/>
  <c r="E135" i="753"/>
  <c r="F135" i="753"/>
  <c r="G135" i="753"/>
  <c r="H135" i="753"/>
  <c r="I135" i="753"/>
  <c r="J135" i="753"/>
  <c r="K135" i="753"/>
  <c r="L135" i="753"/>
  <c r="M135" i="753"/>
  <c r="N135" i="753"/>
  <c r="O135" i="753"/>
  <c r="O199" i="753" s="1"/>
  <c r="V135" i="753"/>
  <c r="W135" i="753"/>
  <c r="X135" i="753"/>
  <c r="Y135" i="753"/>
  <c r="Z135" i="753"/>
  <c r="AA135" i="753"/>
  <c r="D138" i="753"/>
  <c r="E138" i="753"/>
  <c r="F138" i="753"/>
  <c r="G138" i="753"/>
  <c r="H138" i="753"/>
  <c r="I138" i="753"/>
  <c r="J138" i="753"/>
  <c r="K138" i="753"/>
  <c r="L138" i="753"/>
  <c r="M138" i="753"/>
  <c r="N138" i="753"/>
  <c r="O138" i="753"/>
  <c r="P138" i="753"/>
  <c r="Q138" i="753"/>
  <c r="R138" i="753"/>
  <c r="S138" i="753"/>
  <c r="V138" i="753"/>
  <c r="W138" i="753"/>
  <c r="X138" i="753"/>
  <c r="Y138" i="753"/>
  <c r="Z138" i="753"/>
  <c r="AA138" i="753"/>
  <c r="AB138" i="753"/>
  <c r="AC138" i="753"/>
  <c r="AD138" i="753"/>
  <c r="D139" i="753"/>
  <c r="E139" i="753"/>
  <c r="F139" i="753"/>
  <c r="G139" i="753"/>
  <c r="H139" i="753"/>
  <c r="I139" i="753"/>
  <c r="J139" i="753"/>
  <c r="K139" i="753"/>
  <c r="L139" i="753"/>
  <c r="M139" i="753"/>
  <c r="N139" i="753"/>
  <c r="O139" i="753"/>
  <c r="P139" i="753"/>
  <c r="Q139" i="753"/>
  <c r="R139" i="753"/>
  <c r="S139" i="753"/>
  <c r="V139" i="753"/>
  <c r="W139" i="753"/>
  <c r="X139" i="753"/>
  <c r="Y139" i="753"/>
  <c r="Z139" i="753"/>
  <c r="AA139" i="753"/>
  <c r="AB139" i="753"/>
  <c r="AC139" i="753"/>
  <c r="AD139" i="753"/>
  <c r="D140" i="753"/>
  <c r="E140" i="753"/>
  <c r="F140" i="753"/>
  <c r="G140" i="753"/>
  <c r="H140" i="753"/>
  <c r="I140" i="753"/>
  <c r="J140" i="753"/>
  <c r="K140" i="753"/>
  <c r="L140" i="753"/>
  <c r="M140" i="753"/>
  <c r="N140" i="753"/>
  <c r="O140" i="753"/>
  <c r="P140" i="753"/>
  <c r="Q140" i="753"/>
  <c r="R140" i="753"/>
  <c r="S140" i="753"/>
  <c r="V140" i="753"/>
  <c r="W140" i="753"/>
  <c r="X140" i="753"/>
  <c r="Y140" i="753"/>
  <c r="Z140" i="753"/>
  <c r="AA140" i="753"/>
  <c r="AB140" i="753"/>
  <c r="AC140" i="753"/>
  <c r="D143" i="753"/>
  <c r="E143" i="753"/>
  <c r="F143" i="753"/>
  <c r="G143" i="753"/>
  <c r="H143" i="753"/>
  <c r="I143" i="753"/>
  <c r="J143" i="753"/>
  <c r="K143" i="753"/>
  <c r="L143" i="753"/>
  <c r="M143" i="753"/>
  <c r="N143" i="753"/>
  <c r="O143" i="753"/>
  <c r="P143" i="753"/>
  <c r="Q143" i="753"/>
  <c r="R143" i="753"/>
  <c r="S143" i="753"/>
  <c r="V143" i="753"/>
  <c r="W143" i="753"/>
  <c r="X143" i="753"/>
  <c r="Y143" i="753"/>
  <c r="Z143" i="753"/>
  <c r="AA143" i="753"/>
  <c r="AB143" i="753"/>
  <c r="AC143" i="753"/>
  <c r="AD143" i="753"/>
  <c r="D146" i="753"/>
  <c r="D148" i="753" s="1"/>
  <c r="D149" i="753" s="1"/>
  <c r="E146" i="753"/>
  <c r="F146" i="753"/>
  <c r="F148" i="753" s="1"/>
  <c r="F149" i="753" s="1"/>
  <c r="G146" i="753"/>
  <c r="H146" i="753"/>
  <c r="I146" i="753"/>
  <c r="I148" i="753" s="1"/>
  <c r="I149" i="753" s="1"/>
  <c r="J146" i="753"/>
  <c r="K146" i="753"/>
  <c r="L146" i="753"/>
  <c r="L148" i="753" s="1"/>
  <c r="M146" i="753"/>
  <c r="N146" i="753"/>
  <c r="N148" i="753" s="1"/>
  <c r="N149" i="753" s="1"/>
  <c r="O146" i="753"/>
  <c r="P146" i="753"/>
  <c r="Q146" i="753"/>
  <c r="R146" i="753"/>
  <c r="S146" i="753"/>
  <c r="V146" i="753"/>
  <c r="V148" i="753" s="1"/>
  <c r="V149" i="753" s="1"/>
  <c r="W146" i="753"/>
  <c r="X146" i="753"/>
  <c r="X148" i="753" s="1"/>
  <c r="X149" i="753" s="1"/>
  <c r="Y146" i="753"/>
  <c r="Z146" i="753"/>
  <c r="AA146" i="753"/>
  <c r="AA148" i="753" s="1"/>
  <c r="AA149" i="753" s="1"/>
  <c r="AB146" i="753"/>
  <c r="AC146" i="753"/>
  <c r="AD146" i="753"/>
  <c r="D147" i="753"/>
  <c r="E147" i="753"/>
  <c r="F147" i="753"/>
  <c r="G147" i="753"/>
  <c r="H147" i="753"/>
  <c r="I147" i="753"/>
  <c r="J147" i="753"/>
  <c r="J148" i="753" s="1"/>
  <c r="J149" i="753" s="1"/>
  <c r="K147" i="753"/>
  <c r="L147" i="753"/>
  <c r="M147" i="753"/>
  <c r="N147" i="753"/>
  <c r="O147" i="753"/>
  <c r="P147" i="753"/>
  <c r="Q153" i="753"/>
  <c r="R153" i="753"/>
  <c r="S153" i="753"/>
  <c r="U147" i="753"/>
  <c r="V147" i="753"/>
  <c r="W147" i="753"/>
  <c r="W155" i="753" s="1"/>
  <c r="X147" i="753"/>
  <c r="Y147" i="753"/>
  <c r="Y155" i="753" s="1"/>
  <c r="Z147" i="753"/>
  <c r="AA147" i="753"/>
  <c r="AC153" i="753"/>
  <c r="AD153" i="753"/>
  <c r="E148" i="753"/>
  <c r="E149" i="753" s="1"/>
  <c r="G148" i="753"/>
  <c r="G149" i="753" s="1"/>
  <c r="H148" i="753"/>
  <c r="H149" i="753" s="1"/>
  <c r="K148" i="753"/>
  <c r="K149" i="753" s="1"/>
  <c r="M148" i="753"/>
  <c r="M149" i="753" s="1"/>
  <c r="O148" i="753"/>
  <c r="Y148" i="753"/>
  <c r="Y149" i="753" s="1"/>
  <c r="Z148" i="753"/>
  <c r="Z149" i="753" s="1"/>
  <c r="L149" i="753"/>
  <c r="O149" i="753"/>
  <c r="D152" i="753"/>
  <c r="D155" i="753"/>
  <c r="D154" i="753" s="1"/>
  <c r="E152" i="753"/>
  <c r="E154" i="753" s="1"/>
  <c r="E155" i="753"/>
  <c r="F152" i="753" s="1"/>
  <c r="F154" i="753" s="1"/>
  <c r="F155" i="753"/>
  <c r="G152" i="753" s="1"/>
  <c r="G155" i="753"/>
  <c r="H152" i="753" s="1"/>
  <c r="H155" i="753"/>
  <c r="I152" i="753" s="1"/>
  <c r="I155" i="753"/>
  <c r="J152" i="753"/>
  <c r="K155" i="753"/>
  <c r="L155" i="753"/>
  <c r="M152" i="753"/>
  <c r="M155" i="753"/>
  <c r="N152" i="753" s="1"/>
  <c r="N154" i="753" s="1"/>
  <c r="N155" i="753"/>
  <c r="O152" i="753" s="1"/>
  <c r="O154" i="753" s="1"/>
  <c r="O155" i="753"/>
  <c r="P152" i="753" s="1"/>
  <c r="V152" i="753"/>
  <c r="V155" i="753"/>
  <c r="W152" i="753" s="1"/>
  <c r="X155" i="753"/>
  <c r="Y152" i="753"/>
  <c r="Z155" i="753"/>
  <c r="AA152" i="753" s="1"/>
  <c r="AA154" i="753" s="1"/>
  <c r="AA155" i="753"/>
  <c r="AB152" i="753"/>
  <c r="D153" i="753"/>
  <c r="E153" i="753"/>
  <c r="F153" i="753"/>
  <c r="G153" i="753"/>
  <c r="H153" i="753"/>
  <c r="I153" i="753"/>
  <c r="J153" i="753"/>
  <c r="K153" i="753"/>
  <c r="L153" i="753"/>
  <c r="M153" i="753"/>
  <c r="N153" i="753"/>
  <c r="O153" i="753"/>
  <c r="P153" i="753"/>
  <c r="V153" i="753"/>
  <c r="W153" i="753"/>
  <c r="X153" i="753"/>
  <c r="Y153" i="753"/>
  <c r="Z153" i="753"/>
  <c r="AA153" i="753"/>
  <c r="AB153" i="753"/>
  <c r="I154" i="753"/>
  <c r="V154" i="753"/>
  <c r="D159" i="753"/>
  <c r="E159" i="753"/>
  <c r="F159" i="753"/>
  <c r="G159" i="753"/>
  <c r="H159" i="753"/>
  <c r="I159" i="753"/>
  <c r="I162" i="753" s="1"/>
  <c r="J159" i="753"/>
  <c r="K159" i="753"/>
  <c r="K162" i="753" s="1"/>
  <c r="L159" i="753"/>
  <c r="M159" i="753"/>
  <c r="N159" i="753"/>
  <c r="O159" i="753"/>
  <c r="P159" i="753"/>
  <c r="P162" i="753" s="1"/>
  <c r="S159" i="753"/>
  <c r="Q159" i="753"/>
  <c r="U159" i="753"/>
  <c r="V159" i="753"/>
  <c r="W159" i="753"/>
  <c r="X159" i="753"/>
  <c r="Y159" i="753"/>
  <c r="Z159" i="753"/>
  <c r="AA159" i="753"/>
  <c r="AA162" i="753" s="1"/>
  <c r="D160" i="753"/>
  <c r="E160" i="753"/>
  <c r="F160" i="753"/>
  <c r="G160" i="753"/>
  <c r="H160" i="753"/>
  <c r="I160" i="753"/>
  <c r="J160" i="753"/>
  <c r="K160" i="753"/>
  <c r="L160" i="753"/>
  <c r="M160" i="753"/>
  <c r="N160" i="753"/>
  <c r="N203" i="753" s="1"/>
  <c r="O160" i="753"/>
  <c r="P160" i="753"/>
  <c r="P161" i="753"/>
  <c r="P168" i="753" s="1"/>
  <c r="AB183" i="753"/>
  <c r="S183" i="753" s="1"/>
  <c r="P183" i="753"/>
  <c r="Q183" i="753"/>
  <c r="U160" i="753"/>
  <c r="V160" i="753"/>
  <c r="W160" i="753"/>
  <c r="X160" i="753"/>
  <c r="Y160" i="753"/>
  <c r="Z160" i="753"/>
  <c r="AA160" i="753"/>
  <c r="AC183" i="753"/>
  <c r="AC182" i="753" s="1"/>
  <c r="AC166" i="753"/>
  <c r="AD183" i="753"/>
  <c r="AD187" i="753" s="1"/>
  <c r="D161" i="753"/>
  <c r="E161" i="753"/>
  <c r="F161" i="753"/>
  <c r="G161" i="753"/>
  <c r="G162" i="753" s="1"/>
  <c r="H161" i="753"/>
  <c r="H168" i="753" s="1"/>
  <c r="I161" i="753"/>
  <c r="J161" i="753"/>
  <c r="K161" i="753"/>
  <c r="L161" i="753"/>
  <c r="M161" i="753"/>
  <c r="M162" i="753" s="1"/>
  <c r="N161" i="753"/>
  <c r="O161" i="753"/>
  <c r="U161" i="753"/>
  <c r="V161" i="753"/>
  <c r="W161" i="753"/>
  <c r="W168" i="753" s="1"/>
  <c r="X161" i="753"/>
  <c r="Y161" i="753"/>
  <c r="Z161" i="753"/>
  <c r="AA161" i="753"/>
  <c r="AA168" i="753" s="1"/>
  <c r="D162" i="753"/>
  <c r="F162" i="753"/>
  <c r="J162" i="753"/>
  <c r="L162" i="753"/>
  <c r="N162" i="753"/>
  <c r="O162" i="753"/>
  <c r="W162" i="753"/>
  <c r="X162" i="753"/>
  <c r="Y162" i="753"/>
  <c r="D165" i="753"/>
  <c r="D168" i="753"/>
  <c r="D167" i="753" s="1"/>
  <c r="E165" i="753"/>
  <c r="F168" i="753"/>
  <c r="G168" i="753"/>
  <c r="H165" i="753" s="1"/>
  <c r="I168" i="753"/>
  <c r="J165" i="753" s="1"/>
  <c r="J168" i="753"/>
  <c r="J170" i="753" s="1"/>
  <c r="K168" i="753"/>
  <c r="L165" i="753" s="1"/>
  <c r="L168" i="753"/>
  <c r="L174" i="753" s="1"/>
  <c r="M165" i="753"/>
  <c r="N168" i="753"/>
  <c r="O168" i="753"/>
  <c r="O174" i="753" s="1"/>
  <c r="P165" i="753"/>
  <c r="V165" i="753"/>
  <c r="V168" i="753"/>
  <c r="W165" i="753"/>
  <c r="X168" i="753"/>
  <c r="Y165" i="753"/>
  <c r="Y168" i="753"/>
  <c r="Z165" i="753"/>
  <c r="D183" i="753"/>
  <c r="D166" i="753"/>
  <c r="E183" i="753"/>
  <c r="E166" i="753" s="1"/>
  <c r="F183" i="753"/>
  <c r="F166" i="753"/>
  <c r="G183" i="753"/>
  <c r="G166" i="753"/>
  <c r="H183" i="753"/>
  <c r="H166" i="753"/>
  <c r="I183" i="753"/>
  <c r="I166" i="753" s="1"/>
  <c r="J183" i="753"/>
  <c r="J166" i="753" s="1"/>
  <c r="K183" i="753"/>
  <c r="K166" i="753"/>
  <c r="L183" i="753"/>
  <c r="L166" i="753"/>
  <c r="M183" i="753"/>
  <c r="M166" i="753" s="1"/>
  <c r="N183" i="753"/>
  <c r="N166" i="753"/>
  <c r="O183" i="753"/>
  <c r="O166" i="753"/>
  <c r="P166" i="753"/>
  <c r="V183" i="753"/>
  <c r="V187" i="753" s="1"/>
  <c r="W183" i="753"/>
  <c r="W166" i="753"/>
  <c r="X183" i="753"/>
  <c r="X166" i="753"/>
  <c r="Y183" i="753"/>
  <c r="Z183" i="753"/>
  <c r="Z166" i="753" s="1"/>
  <c r="AA183" i="753"/>
  <c r="AA166" i="753" s="1"/>
  <c r="AB166" i="753"/>
  <c r="U168" i="753"/>
  <c r="D169" i="753"/>
  <c r="E169" i="753"/>
  <c r="F169" i="753"/>
  <c r="F171" i="753" s="1"/>
  <c r="G169" i="753"/>
  <c r="H169" i="753"/>
  <c r="I169" i="753"/>
  <c r="J169" i="753"/>
  <c r="K169" i="753"/>
  <c r="L169" i="753"/>
  <c r="M169" i="753"/>
  <c r="N169" i="753"/>
  <c r="N171" i="753" s="1"/>
  <c r="O169" i="753"/>
  <c r="P169" i="753"/>
  <c r="P171" i="753" s="1"/>
  <c r="Q171" i="753"/>
  <c r="R171" i="753"/>
  <c r="S171" i="753"/>
  <c r="U169" i="753"/>
  <c r="V169" i="753"/>
  <c r="W169" i="753"/>
  <c r="X169" i="753"/>
  <c r="X170" i="753" s="1"/>
  <c r="Y169" i="753"/>
  <c r="Z169" i="753"/>
  <c r="AA169" i="753"/>
  <c r="AC171" i="753"/>
  <c r="AD171" i="753"/>
  <c r="D170" i="753"/>
  <c r="D207" i="753" s="1"/>
  <c r="I170" i="753"/>
  <c r="K170" i="753"/>
  <c r="L170" i="753"/>
  <c r="L207" i="753" s="1"/>
  <c r="O170" i="753"/>
  <c r="U170" i="753"/>
  <c r="D171" i="753"/>
  <c r="G171" i="753"/>
  <c r="I171" i="753"/>
  <c r="J171" i="753"/>
  <c r="K171" i="753"/>
  <c r="L171" i="753"/>
  <c r="O171" i="753"/>
  <c r="U171" i="753"/>
  <c r="X171" i="753"/>
  <c r="Y171" i="753"/>
  <c r="K174" i="753"/>
  <c r="N174" i="753"/>
  <c r="V174" i="753"/>
  <c r="O175" i="753"/>
  <c r="P178" i="753"/>
  <c r="Q178" i="753"/>
  <c r="AB178" i="753"/>
  <c r="AC178" i="753"/>
  <c r="AD178" i="753"/>
  <c r="P179" i="753"/>
  <c r="D181" i="753"/>
  <c r="E181" i="753"/>
  <c r="F181" i="753"/>
  <c r="G181" i="753"/>
  <c r="H181" i="753"/>
  <c r="I181" i="753"/>
  <c r="J181" i="753"/>
  <c r="K181" i="753"/>
  <c r="L181" i="753"/>
  <c r="M181" i="753"/>
  <c r="N181" i="753"/>
  <c r="O181" i="753"/>
  <c r="P181" i="753"/>
  <c r="V181" i="753"/>
  <c r="W181" i="753"/>
  <c r="X181" i="753"/>
  <c r="Y181" i="753"/>
  <c r="Z181" i="753"/>
  <c r="AA181" i="753"/>
  <c r="D182" i="753"/>
  <c r="E182" i="753"/>
  <c r="F182" i="753"/>
  <c r="G182" i="753"/>
  <c r="H182" i="753"/>
  <c r="I182" i="753"/>
  <c r="J182" i="753"/>
  <c r="K182" i="753"/>
  <c r="L182" i="753"/>
  <c r="M182" i="753"/>
  <c r="N182" i="753"/>
  <c r="O182" i="753"/>
  <c r="V182" i="753"/>
  <c r="W182" i="753"/>
  <c r="X182" i="753"/>
  <c r="Y182" i="753"/>
  <c r="Z182" i="753"/>
  <c r="AA182" i="753"/>
  <c r="D184" i="753"/>
  <c r="E184" i="753"/>
  <c r="F184" i="753"/>
  <c r="G184" i="753"/>
  <c r="H184" i="753"/>
  <c r="I184" i="753"/>
  <c r="J184" i="753"/>
  <c r="K184" i="753"/>
  <c r="L184" i="753"/>
  <c r="M184" i="753"/>
  <c r="N184" i="753"/>
  <c r="O184" i="753"/>
  <c r="P184" i="753"/>
  <c r="Q184" i="753"/>
  <c r="V184" i="753"/>
  <c r="W184" i="753"/>
  <c r="X184" i="753"/>
  <c r="Y184" i="753"/>
  <c r="Z184" i="753"/>
  <c r="AA184" i="753"/>
  <c r="D187" i="753"/>
  <c r="E187" i="753"/>
  <c r="F187" i="753"/>
  <c r="G187" i="753"/>
  <c r="H187" i="753"/>
  <c r="L193" i="753" s="1"/>
  <c r="K187" i="753"/>
  <c r="O193" i="753" s="1"/>
  <c r="L187" i="753"/>
  <c r="M187" i="753"/>
  <c r="N187" i="753"/>
  <c r="O187" i="753"/>
  <c r="P187" i="753"/>
  <c r="Q187" i="753"/>
  <c r="W187" i="753"/>
  <c r="W193" i="753" s="1"/>
  <c r="X187" i="753"/>
  <c r="Z187" i="753"/>
  <c r="AC187" i="753"/>
  <c r="K189" i="753"/>
  <c r="L189" i="753"/>
  <c r="L188" i="753" s="1"/>
  <c r="H193" i="753"/>
  <c r="K193" i="753"/>
  <c r="P193" i="753"/>
  <c r="Q193" i="753"/>
  <c r="X193" i="753"/>
  <c r="AD193" i="753"/>
  <c r="D196" i="753"/>
  <c r="E196" i="753"/>
  <c r="F196" i="753"/>
  <c r="G196" i="753"/>
  <c r="G202" i="753" s="1"/>
  <c r="H196" i="753"/>
  <c r="I196" i="753"/>
  <c r="J196" i="753"/>
  <c r="K196" i="753"/>
  <c r="L196" i="753"/>
  <c r="L202" i="753" s="1"/>
  <c r="M196" i="753"/>
  <c r="N196" i="753"/>
  <c r="O196" i="753"/>
  <c r="O202" i="753" s="1"/>
  <c r="P196" i="753"/>
  <c r="Q196" i="753"/>
  <c r="R196" i="753"/>
  <c r="S196" i="753"/>
  <c r="V196" i="753"/>
  <c r="W196" i="753"/>
  <c r="W202" i="753" s="1"/>
  <c r="X196" i="753"/>
  <c r="Y196" i="753"/>
  <c r="Y202" i="753" s="1"/>
  <c r="Z196" i="753"/>
  <c r="AA196" i="753"/>
  <c r="D197" i="753"/>
  <c r="D203" i="753" s="1"/>
  <c r="E197" i="753"/>
  <c r="F197" i="753"/>
  <c r="F203" i="753" s="1"/>
  <c r="G197" i="753"/>
  <c r="H197" i="753"/>
  <c r="I197" i="753"/>
  <c r="I203" i="753" s="1"/>
  <c r="J197" i="753"/>
  <c r="K197" i="753"/>
  <c r="L197" i="753"/>
  <c r="L203" i="753" s="1"/>
  <c r="M197" i="753"/>
  <c r="N197" i="753"/>
  <c r="O197" i="753"/>
  <c r="P197" i="753"/>
  <c r="P198" i="753"/>
  <c r="P204" i="753" s="1"/>
  <c r="P199" i="753"/>
  <c r="AB199" i="753"/>
  <c r="S199" i="753" s="1"/>
  <c r="V197" i="753"/>
  <c r="V203" i="753" s="1"/>
  <c r="W197" i="753"/>
  <c r="X197" i="753"/>
  <c r="X203" i="753" s="1"/>
  <c r="Y197" i="753"/>
  <c r="Z197" i="753"/>
  <c r="Z203" i="753" s="1"/>
  <c r="AA197" i="753"/>
  <c r="AC199" i="753"/>
  <c r="AD199" i="753"/>
  <c r="D198" i="753"/>
  <c r="E198" i="753"/>
  <c r="E217" i="753" s="1"/>
  <c r="F198" i="753"/>
  <c r="G198" i="753"/>
  <c r="G217" i="753" s="1"/>
  <c r="H198" i="753"/>
  <c r="H204" i="753" s="1"/>
  <c r="I198" i="753"/>
  <c r="J198" i="753"/>
  <c r="J204" i="753" s="1"/>
  <c r="K198" i="753"/>
  <c r="L198" i="753"/>
  <c r="L217" i="753" s="1"/>
  <c r="M198" i="753"/>
  <c r="M204" i="753" s="1"/>
  <c r="N198" i="753"/>
  <c r="O198" i="753"/>
  <c r="O217" i="753" s="1"/>
  <c r="V198" i="753"/>
  <c r="W198" i="753"/>
  <c r="X198" i="753"/>
  <c r="Y198" i="753"/>
  <c r="Z198" i="753"/>
  <c r="Z217" i="753" s="1"/>
  <c r="AA198" i="753"/>
  <c r="D199" i="753"/>
  <c r="E199" i="753"/>
  <c r="F199" i="753"/>
  <c r="G199" i="753"/>
  <c r="H199" i="753"/>
  <c r="I199" i="753"/>
  <c r="J199" i="753"/>
  <c r="K199" i="753"/>
  <c r="L199" i="753"/>
  <c r="M199" i="753"/>
  <c r="N199" i="753"/>
  <c r="V199" i="753"/>
  <c r="W199" i="753"/>
  <c r="X199" i="753"/>
  <c r="Y199" i="753"/>
  <c r="Z199" i="753"/>
  <c r="AA199" i="753"/>
  <c r="D202" i="753"/>
  <c r="F202" i="753"/>
  <c r="H202" i="753"/>
  <c r="I202" i="753"/>
  <c r="J202" i="753"/>
  <c r="K202" i="753"/>
  <c r="M202" i="753"/>
  <c r="N202" i="753"/>
  <c r="P202" i="753"/>
  <c r="Q202" i="753"/>
  <c r="S202" i="753"/>
  <c r="X202" i="753"/>
  <c r="Z202" i="753"/>
  <c r="AA202" i="753"/>
  <c r="AB202" i="753"/>
  <c r="AC202" i="753"/>
  <c r="AD202" i="753"/>
  <c r="E203" i="753"/>
  <c r="G203" i="753"/>
  <c r="H203" i="753"/>
  <c r="J203" i="753"/>
  <c r="K203" i="753"/>
  <c r="M203" i="753"/>
  <c r="O203" i="753"/>
  <c r="P203" i="753"/>
  <c r="W203" i="753"/>
  <c r="Y203" i="753"/>
  <c r="AA203" i="753"/>
  <c r="D204" i="753"/>
  <c r="F204" i="753"/>
  <c r="I204" i="753"/>
  <c r="K204" i="753"/>
  <c r="L204" i="753"/>
  <c r="N204" i="753"/>
  <c r="V204" i="753"/>
  <c r="W204" i="753"/>
  <c r="Y204" i="753"/>
  <c r="AA204" i="753"/>
  <c r="K207" i="753"/>
  <c r="D210" i="753"/>
  <c r="D212" i="753" s="1"/>
  <c r="D213" i="753" s="1"/>
  <c r="F210" i="753"/>
  <c r="G210" i="753"/>
  <c r="G212" i="753" s="1"/>
  <c r="G213" i="753" s="1"/>
  <c r="H210" i="753"/>
  <c r="I210" i="753"/>
  <c r="J210" i="753"/>
  <c r="J212" i="753" s="1"/>
  <c r="J213" i="753" s="1"/>
  <c r="K210" i="753"/>
  <c r="L210" i="753"/>
  <c r="M210" i="753"/>
  <c r="M212" i="753" s="1"/>
  <c r="N210" i="753"/>
  <c r="O210" i="753"/>
  <c r="O212" i="753" s="1"/>
  <c r="O213" i="753" s="1"/>
  <c r="P210" i="753"/>
  <c r="P212" i="753" s="1"/>
  <c r="P213" i="753" s="1"/>
  <c r="V210" i="753"/>
  <c r="V212" i="753" s="1"/>
  <c r="V213" i="753" s="1"/>
  <c r="W210" i="753"/>
  <c r="W212" i="753" s="1"/>
  <c r="W213" i="753" s="1"/>
  <c r="X210" i="753"/>
  <c r="Y210" i="753"/>
  <c r="Y212" i="753" s="1"/>
  <c r="Y213" i="753" s="1"/>
  <c r="AA210" i="753"/>
  <c r="D211" i="753"/>
  <c r="D219" i="753" s="1"/>
  <c r="E211" i="753"/>
  <c r="F211" i="753"/>
  <c r="G211" i="753"/>
  <c r="G219" i="753" s="1"/>
  <c r="H211" i="753"/>
  <c r="I211" i="753"/>
  <c r="I212" i="753" s="1"/>
  <c r="I213" i="753" s="1"/>
  <c r="J211" i="753"/>
  <c r="K211" i="753"/>
  <c r="K219" i="753" s="1"/>
  <c r="L211" i="753"/>
  <c r="L219" i="753" s="1"/>
  <c r="M211" i="753"/>
  <c r="N211" i="753"/>
  <c r="O211" i="753"/>
  <c r="O219" i="753" s="1"/>
  <c r="P211" i="753"/>
  <c r="P219" i="753"/>
  <c r="U211" i="753"/>
  <c r="V216" i="753" s="1"/>
  <c r="V211" i="753"/>
  <c r="W211" i="753"/>
  <c r="X211" i="753"/>
  <c r="Y211" i="753"/>
  <c r="Z211" i="753"/>
  <c r="AA211" i="753"/>
  <c r="AA219" i="753" s="1"/>
  <c r="F212" i="753"/>
  <c r="F213" i="753" s="1"/>
  <c r="H212" i="753"/>
  <c r="H213" i="753" s="1"/>
  <c r="K212" i="753"/>
  <c r="K213" i="753" s="1"/>
  <c r="L212" i="753"/>
  <c r="L213" i="753" s="1"/>
  <c r="N212" i="753"/>
  <c r="N213" i="753" s="1"/>
  <c r="AA212" i="753"/>
  <c r="AA213" i="753" s="1"/>
  <c r="M213" i="753"/>
  <c r="E219" i="753"/>
  <c r="F216" i="753" s="1"/>
  <c r="F219" i="753"/>
  <c r="F218" i="753" s="1"/>
  <c r="G216" i="753"/>
  <c r="H219" i="753"/>
  <c r="I216" i="753"/>
  <c r="J219" i="753"/>
  <c r="K216" i="753" s="1"/>
  <c r="M219" i="753"/>
  <c r="N216" i="753" s="1"/>
  <c r="N219" i="753"/>
  <c r="N218" i="753" s="1"/>
  <c r="O216" i="753"/>
  <c r="V219" i="753"/>
  <c r="V218" i="753" s="1"/>
  <c r="W219" i="753"/>
  <c r="X216" i="753"/>
  <c r="Y219" i="753"/>
  <c r="Z219" i="753"/>
  <c r="AA216" i="753" s="1"/>
  <c r="D217" i="753"/>
  <c r="F217" i="753"/>
  <c r="H217" i="753"/>
  <c r="I217" i="753"/>
  <c r="J217" i="753"/>
  <c r="K217" i="753"/>
  <c r="N217" i="753"/>
  <c r="P217" i="753"/>
  <c r="V217" i="753"/>
  <c r="W217" i="753"/>
  <c r="Y217" i="753"/>
  <c r="AA217" i="753"/>
  <c r="O224" i="753"/>
  <c r="O225" i="753" s="1"/>
  <c r="O226" i="753"/>
  <c r="P226" i="753"/>
  <c r="D234" i="753"/>
  <c r="D240" i="753" s="1"/>
  <c r="E234" i="753"/>
  <c r="E240" i="753" s="1"/>
  <c r="F236" i="753" s="1"/>
  <c r="F234" i="753"/>
  <c r="G234" i="753"/>
  <c r="H234" i="753"/>
  <c r="H240" i="753" s="1"/>
  <c r="I234" i="753"/>
  <c r="J234" i="753"/>
  <c r="J240" i="753" s="1"/>
  <c r="K234" i="753"/>
  <c r="L234" i="753"/>
  <c r="L240" i="753" s="1"/>
  <c r="M234" i="753"/>
  <c r="M240" i="753" s="1"/>
  <c r="N234" i="753"/>
  <c r="O234" i="753"/>
  <c r="P234" i="753"/>
  <c r="P240" i="753" s="1"/>
  <c r="U234" i="753"/>
  <c r="V234" i="753"/>
  <c r="V240" i="753" s="1"/>
  <c r="V239" i="753" s="1"/>
  <c r="W234" i="753"/>
  <c r="X234" i="753"/>
  <c r="X240" i="753" s="1"/>
  <c r="Y234" i="753"/>
  <c r="Y240" i="753" s="1"/>
  <c r="Y239" i="753" s="1"/>
  <c r="Z234" i="753"/>
  <c r="AA234" i="753"/>
  <c r="D236" i="753"/>
  <c r="E236" i="753"/>
  <c r="F240" i="753"/>
  <c r="F239" i="753" s="1"/>
  <c r="G240" i="753"/>
  <c r="H236" i="753" s="1"/>
  <c r="I240" i="753"/>
  <c r="J236" i="753"/>
  <c r="K240" i="753"/>
  <c r="L236" i="753"/>
  <c r="M236" i="753"/>
  <c r="N240" i="753"/>
  <c r="O236" i="753" s="1"/>
  <c r="O239" i="753" s="1"/>
  <c r="O240" i="753"/>
  <c r="P236" i="753" s="1"/>
  <c r="V236" i="753"/>
  <c r="W236" i="753"/>
  <c r="W239" i="753" s="1"/>
  <c r="X236" i="753"/>
  <c r="Y236" i="753"/>
  <c r="Z236" i="753"/>
  <c r="AA236" i="753"/>
  <c r="E239" i="753"/>
  <c r="W240" i="753"/>
  <c r="X239" i="753"/>
  <c r="Z240" i="753"/>
  <c r="Z239" i="753" s="1"/>
  <c r="AA240" i="753"/>
  <c r="AA239" i="753" s="1"/>
  <c r="E17" i="565"/>
  <c r="F17" i="565"/>
  <c r="G17" i="565"/>
  <c r="H17" i="565"/>
  <c r="H19" i="565" s="1"/>
  <c r="I17" i="565"/>
  <c r="J17" i="565"/>
  <c r="J19" i="565" s="1"/>
  <c r="K17" i="565"/>
  <c r="K19" i="565" s="1"/>
  <c r="L17" i="565"/>
  <c r="M17" i="565"/>
  <c r="M19" i="565" s="1"/>
  <c r="N17" i="565"/>
  <c r="O17" i="565"/>
  <c r="P17" i="565"/>
  <c r="P19" i="565" s="1"/>
  <c r="Q17" i="565"/>
  <c r="E18" i="565"/>
  <c r="F18" i="565"/>
  <c r="F19" i="565" s="1"/>
  <c r="G18" i="565"/>
  <c r="H18" i="565"/>
  <c r="I18" i="565"/>
  <c r="I19" i="565" s="1"/>
  <c r="J18" i="565"/>
  <c r="K18" i="565"/>
  <c r="L18" i="565"/>
  <c r="M18" i="565"/>
  <c r="N18" i="565"/>
  <c r="N19" i="565" s="1"/>
  <c r="O18" i="565"/>
  <c r="O19" i="565" s="1"/>
  <c r="P18" i="565"/>
  <c r="Q18" i="565"/>
  <c r="E19" i="565"/>
  <c r="G19" i="565"/>
  <c r="L19" i="565"/>
  <c r="Q19" i="565"/>
  <c r="Q20" i="565" s="1"/>
  <c r="E152" i="565"/>
  <c r="D152" i="565"/>
  <c r="E21" i="565" s="1"/>
  <c r="E62" i="565" s="1"/>
  <c r="E24" i="565" s="1"/>
  <c r="F152" i="565"/>
  <c r="F21" i="565" s="1"/>
  <c r="F20" i="565"/>
  <c r="G152" i="565"/>
  <c r="H152" i="565"/>
  <c r="H21" i="565"/>
  <c r="H65" i="565" s="1"/>
  <c r="H20" i="565"/>
  <c r="I152" i="565"/>
  <c r="I21" i="565"/>
  <c r="J152" i="565"/>
  <c r="J21" i="565"/>
  <c r="K152" i="565"/>
  <c r="K21" i="565" s="1"/>
  <c r="L152" i="565"/>
  <c r="L21" i="565" s="1"/>
  <c r="M152" i="565"/>
  <c r="N152" i="565"/>
  <c r="N21" i="565" s="1"/>
  <c r="N20" i="565" s="1"/>
  <c r="O152" i="565"/>
  <c r="P152" i="565"/>
  <c r="P21" i="565"/>
  <c r="P20" i="565" s="1"/>
  <c r="Q152" i="565"/>
  <c r="Q21" i="565"/>
  <c r="F63" i="565"/>
  <c r="F25" i="565" s="1"/>
  <c r="F90" i="565"/>
  <c r="F117" i="565" s="1"/>
  <c r="I65" i="565"/>
  <c r="I66" i="565"/>
  <c r="I28" i="565" s="1"/>
  <c r="J67" i="565"/>
  <c r="K67" i="565" s="1"/>
  <c r="L67" i="565"/>
  <c r="M67" i="565" s="1"/>
  <c r="N67" i="565" s="1"/>
  <c r="N71" i="565"/>
  <c r="N33" i="565" s="1"/>
  <c r="N98" i="565" s="1"/>
  <c r="P73" i="565"/>
  <c r="P35" i="565" s="1"/>
  <c r="Q74" i="565"/>
  <c r="Q36" i="565" s="1"/>
  <c r="R74" i="565"/>
  <c r="E49" i="565"/>
  <c r="E52" i="565"/>
  <c r="F52" i="565"/>
  <c r="G52" i="565"/>
  <c r="H52" i="565"/>
  <c r="I52" i="565"/>
  <c r="J52" i="565"/>
  <c r="K52" i="565"/>
  <c r="L52" i="565"/>
  <c r="M52" i="565"/>
  <c r="N52" i="565"/>
  <c r="O52" i="565"/>
  <c r="P52" i="565"/>
  <c r="Q52" i="565"/>
  <c r="E54" i="565"/>
  <c r="E57" i="565"/>
  <c r="E59" i="565" s="1"/>
  <c r="Q159" i="565"/>
  <c r="R155" i="565" s="1"/>
  <c r="R157" i="565"/>
  <c r="R176" i="565" s="1"/>
  <c r="Q155" i="565"/>
  <c r="S157" i="565"/>
  <c r="T157" i="565"/>
  <c r="T176" i="565" s="1"/>
  <c r="U157" i="565"/>
  <c r="V157" i="565"/>
  <c r="V176" i="565" s="1"/>
  <c r="W157" i="565"/>
  <c r="W176" i="565" s="1"/>
  <c r="X157" i="565"/>
  <c r="Y157" i="565"/>
  <c r="Y176" i="565" s="1"/>
  <c r="Z157" i="565"/>
  <c r="Z176" i="565" s="1"/>
  <c r="AA157" i="565"/>
  <c r="AB157" i="565"/>
  <c r="AC157" i="565"/>
  <c r="G153" i="565"/>
  <c r="G192" i="565" s="1"/>
  <c r="H153" i="565"/>
  <c r="I153" i="565"/>
  <c r="I192" i="565" s="1"/>
  <c r="J153" i="565"/>
  <c r="K153" i="565"/>
  <c r="L153" i="565"/>
  <c r="M153" i="565"/>
  <c r="M192" i="565" s="1"/>
  <c r="N153" i="565"/>
  <c r="O153" i="565"/>
  <c r="P153" i="565"/>
  <c r="Q153" i="565"/>
  <c r="Q192" i="565" s="1"/>
  <c r="E155" i="565"/>
  <c r="F155" i="565"/>
  <c r="G155" i="565"/>
  <c r="H155" i="565"/>
  <c r="H158" i="565" s="1"/>
  <c r="I155" i="565"/>
  <c r="J155" i="565"/>
  <c r="K155" i="565"/>
  <c r="L155" i="565"/>
  <c r="L158" i="565" s="1"/>
  <c r="M155" i="565"/>
  <c r="M158" i="565" s="1"/>
  <c r="N155" i="565"/>
  <c r="O155" i="565"/>
  <c r="P155" i="565"/>
  <c r="P158" i="565" s="1"/>
  <c r="E159" i="565"/>
  <c r="E158" i="565"/>
  <c r="F159" i="565"/>
  <c r="F158" i="565"/>
  <c r="G159" i="565"/>
  <c r="G158" i="565" s="1"/>
  <c r="H159" i="565"/>
  <c r="I159" i="565"/>
  <c r="I158" i="565"/>
  <c r="J159" i="565"/>
  <c r="J158" i="565"/>
  <c r="K159" i="565"/>
  <c r="L159" i="565"/>
  <c r="M159" i="565"/>
  <c r="N159" i="565"/>
  <c r="N158" i="565" s="1"/>
  <c r="O159" i="565"/>
  <c r="O158" i="565" s="1"/>
  <c r="P159" i="565"/>
  <c r="Q167" i="565"/>
  <c r="R164" i="565"/>
  <c r="P167" i="565"/>
  <c r="Q164" i="565"/>
  <c r="Q166" i="565" s="1"/>
  <c r="R166" i="565" s="1"/>
  <c r="E164" i="565"/>
  <c r="E167" i="565"/>
  <c r="F164" i="565" s="1"/>
  <c r="F167" i="565"/>
  <c r="G164" i="565" s="1"/>
  <c r="G166" i="565" s="1"/>
  <c r="G167" i="565"/>
  <c r="H164" i="565" s="1"/>
  <c r="H167" i="565"/>
  <c r="I164" i="565" s="1"/>
  <c r="I167" i="565"/>
  <c r="J164" i="565"/>
  <c r="J167" i="565"/>
  <c r="J166" i="565" s="1"/>
  <c r="K164" i="565"/>
  <c r="K167" i="565"/>
  <c r="L164" i="565" s="1"/>
  <c r="L167" i="565"/>
  <c r="M167" i="565"/>
  <c r="N164" i="565"/>
  <c r="N167" i="565"/>
  <c r="O164" i="565"/>
  <c r="O167" i="565"/>
  <c r="P164" i="565"/>
  <c r="P166" i="565" s="1"/>
  <c r="I166" i="565"/>
  <c r="K166" i="565"/>
  <c r="O166" i="565"/>
  <c r="D170" i="565"/>
  <c r="D172" i="565" s="1"/>
  <c r="E174" i="565" s="1"/>
  <c r="E178" i="565" s="1"/>
  <c r="E170" i="565"/>
  <c r="E172" i="565" s="1"/>
  <c r="F170" i="565"/>
  <c r="G170" i="565"/>
  <c r="H170" i="565"/>
  <c r="I170" i="565"/>
  <c r="J170" i="565"/>
  <c r="K170" i="565"/>
  <c r="K172" i="565" s="1"/>
  <c r="L174" i="565" s="1"/>
  <c r="L170" i="565"/>
  <c r="M170" i="565"/>
  <c r="N170" i="565"/>
  <c r="O170" i="565"/>
  <c r="P170" i="565"/>
  <c r="Q170" i="565"/>
  <c r="D171" i="565"/>
  <c r="E171" i="565"/>
  <c r="F171" i="565"/>
  <c r="G171" i="565"/>
  <c r="H171" i="565"/>
  <c r="I171" i="565"/>
  <c r="I172" i="565" s="1"/>
  <c r="J171" i="565"/>
  <c r="K171" i="565"/>
  <c r="L171" i="565"/>
  <c r="M171" i="565"/>
  <c r="N171" i="565"/>
  <c r="O171" i="565"/>
  <c r="P171" i="565"/>
  <c r="Q171" i="565"/>
  <c r="Q172" i="565" s="1"/>
  <c r="F172" i="565"/>
  <c r="G172" i="565"/>
  <c r="G179" i="565" s="1"/>
  <c r="H172" i="565"/>
  <c r="H179" i="565" s="1"/>
  <c r="H178" i="565" s="1"/>
  <c r="J172" i="565"/>
  <c r="K174" i="565" s="1"/>
  <c r="L172" i="565"/>
  <c r="L179" i="565" s="1"/>
  <c r="L178" i="565" s="1"/>
  <c r="N172" i="565"/>
  <c r="O172" i="565"/>
  <c r="P172" i="565"/>
  <c r="P193" i="565" s="1"/>
  <c r="F174" i="565"/>
  <c r="H174" i="565"/>
  <c r="M174" i="565"/>
  <c r="O174" i="565"/>
  <c r="P174" i="565"/>
  <c r="E175" i="565"/>
  <c r="F175" i="565"/>
  <c r="G175" i="565"/>
  <c r="H175" i="565"/>
  <c r="I175" i="565"/>
  <c r="J175" i="565"/>
  <c r="K175" i="565"/>
  <c r="L175" i="565"/>
  <c r="M175" i="565"/>
  <c r="N175" i="565"/>
  <c r="O175" i="565"/>
  <c r="P175" i="565"/>
  <c r="Q175" i="565"/>
  <c r="E176" i="565"/>
  <c r="F176" i="565"/>
  <c r="G176" i="565"/>
  <c r="H176" i="565"/>
  <c r="I176" i="565"/>
  <c r="J176" i="565"/>
  <c r="K176" i="565"/>
  <c r="L176" i="565"/>
  <c r="M176" i="565"/>
  <c r="N176" i="565"/>
  <c r="O176" i="565"/>
  <c r="P176" i="565"/>
  <c r="Q176" i="565"/>
  <c r="S176" i="565"/>
  <c r="U176" i="565"/>
  <c r="X176" i="565"/>
  <c r="AA176" i="565"/>
  <c r="AB176" i="565"/>
  <c r="AC176" i="565"/>
  <c r="E177" i="565"/>
  <c r="F177" i="565"/>
  <c r="G177" i="565"/>
  <c r="H177" i="565"/>
  <c r="I177" i="565"/>
  <c r="J177" i="565"/>
  <c r="K177" i="565"/>
  <c r="L177" i="565"/>
  <c r="M177" i="565"/>
  <c r="N177" i="565"/>
  <c r="O177" i="565"/>
  <c r="P177" i="565"/>
  <c r="Q177" i="565"/>
  <c r="E179" i="565"/>
  <c r="J179" i="565"/>
  <c r="K179" i="565"/>
  <c r="N179" i="565"/>
  <c r="O179" i="565"/>
  <c r="O178" i="565"/>
  <c r="Q179" i="565"/>
  <c r="G191" i="565"/>
  <c r="H191" i="565"/>
  <c r="I191" i="565"/>
  <c r="J191" i="565"/>
  <c r="K191" i="565"/>
  <c r="L191" i="565"/>
  <c r="M191" i="565"/>
  <c r="N191" i="565"/>
  <c r="O191" i="565"/>
  <c r="P191" i="565"/>
  <c r="Q191" i="565"/>
  <c r="H192" i="565"/>
  <c r="J192" i="565"/>
  <c r="K192" i="565"/>
  <c r="L192" i="565"/>
  <c r="N192" i="565"/>
  <c r="O192" i="565"/>
  <c r="P192" i="565"/>
  <c r="G193" i="565"/>
  <c r="H193" i="565"/>
  <c r="J193" i="565"/>
  <c r="L193" i="565"/>
  <c r="N193" i="565"/>
  <c r="O193" i="565"/>
  <c r="E17" i="562"/>
  <c r="F17" i="562"/>
  <c r="G17" i="562"/>
  <c r="G19" i="562" s="1"/>
  <c r="H17" i="562"/>
  <c r="I17" i="562"/>
  <c r="J17" i="562"/>
  <c r="K17" i="562"/>
  <c r="K19" i="562" s="1"/>
  <c r="L17" i="562"/>
  <c r="M17" i="562"/>
  <c r="M19" i="562" s="1"/>
  <c r="N17" i="562"/>
  <c r="O17" i="562"/>
  <c r="O19" i="562" s="1"/>
  <c r="P17" i="562"/>
  <c r="Q17" i="562"/>
  <c r="E18" i="562"/>
  <c r="F18" i="562"/>
  <c r="G18" i="562"/>
  <c r="H18" i="562"/>
  <c r="H19" i="562" s="1"/>
  <c r="I18" i="562"/>
  <c r="J18" i="562"/>
  <c r="K18" i="562"/>
  <c r="L18" i="562"/>
  <c r="M18" i="562"/>
  <c r="N18" i="562"/>
  <c r="O18" i="562"/>
  <c r="P18" i="562"/>
  <c r="Q18" i="562"/>
  <c r="F19" i="562"/>
  <c r="I19" i="562"/>
  <c r="J19" i="562"/>
  <c r="L19" i="562"/>
  <c r="N19" i="562"/>
  <c r="Q19" i="562"/>
  <c r="E152" i="562"/>
  <c r="D152" i="562"/>
  <c r="F152" i="562"/>
  <c r="F21" i="562" s="1"/>
  <c r="G152" i="562"/>
  <c r="H152" i="562"/>
  <c r="I152" i="562"/>
  <c r="I21" i="562"/>
  <c r="I66" i="562" s="1"/>
  <c r="I28" i="562" s="1"/>
  <c r="I20" i="562"/>
  <c r="J152" i="562"/>
  <c r="J21" i="562" s="1"/>
  <c r="K152" i="562"/>
  <c r="K21" i="562" s="1"/>
  <c r="K68" i="562" s="1"/>
  <c r="L152" i="562"/>
  <c r="M152" i="562"/>
  <c r="M21" i="562" s="1"/>
  <c r="M20" i="562"/>
  <c r="N152" i="562"/>
  <c r="N21" i="562"/>
  <c r="O152" i="562"/>
  <c r="O21" i="562"/>
  <c r="P152" i="562"/>
  <c r="P21" i="562"/>
  <c r="Q152" i="562"/>
  <c r="Q21" i="562"/>
  <c r="Q20" i="562" s="1"/>
  <c r="J66" i="562"/>
  <c r="K66" i="562" s="1"/>
  <c r="L66" i="562"/>
  <c r="M66" i="562" s="1"/>
  <c r="J67" i="562"/>
  <c r="J29" i="562" s="1"/>
  <c r="K67" i="562"/>
  <c r="L67" i="562" s="1"/>
  <c r="K30" i="562"/>
  <c r="L68" i="562"/>
  <c r="M68" i="562" s="1"/>
  <c r="M70" i="562"/>
  <c r="M32" i="562" s="1"/>
  <c r="N71" i="562"/>
  <c r="N33" i="562" s="1"/>
  <c r="P73" i="562"/>
  <c r="Q73" i="562" s="1"/>
  <c r="P35" i="562"/>
  <c r="Q74" i="562"/>
  <c r="Q36" i="562" s="1"/>
  <c r="E52" i="562"/>
  <c r="F52" i="562"/>
  <c r="G52" i="562"/>
  <c r="H52" i="562"/>
  <c r="I52" i="562"/>
  <c r="J52" i="562"/>
  <c r="K52" i="562"/>
  <c r="L52" i="562"/>
  <c r="M52" i="562"/>
  <c r="N52" i="562"/>
  <c r="O52" i="562"/>
  <c r="P52" i="562"/>
  <c r="Q52" i="562"/>
  <c r="Q159" i="562"/>
  <c r="R155" i="562" s="1"/>
  <c r="R157" i="562"/>
  <c r="Q155" i="562"/>
  <c r="S157" i="562"/>
  <c r="S176" i="562" s="1"/>
  <c r="T157" i="562"/>
  <c r="U157" i="562"/>
  <c r="V157" i="562"/>
  <c r="W157" i="562"/>
  <c r="X157" i="562"/>
  <c r="Y157" i="562"/>
  <c r="Z157" i="562"/>
  <c r="AA157" i="562"/>
  <c r="AA176" i="562" s="1"/>
  <c r="AB157" i="562"/>
  <c r="AC157" i="562"/>
  <c r="G153" i="562"/>
  <c r="H153" i="562"/>
  <c r="I153" i="562"/>
  <c r="I192" i="562" s="1"/>
  <c r="J153" i="562"/>
  <c r="J192" i="562" s="1"/>
  <c r="K153" i="562"/>
  <c r="L153" i="562"/>
  <c r="L192" i="562" s="1"/>
  <c r="M153" i="562"/>
  <c r="N153" i="562"/>
  <c r="O153" i="562"/>
  <c r="O192" i="562" s="1"/>
  <c r="P153" i="562"/>
  <c r="Q153" i="562"/>
  <c r="E155" i="562"/>
  <c r="F155" i="562"/>
  <c r="G155" i="562"/>
  <c r="H155" i="562"/>
  <c r="I155" i="562"/>
  <c r="J155" i="562"/>
  <c r="K155" i="562"/>
  <c r="L155" i="562"/>
  <c r="M155" i="562"/>
  <c r="N155" i="562"/>
  <c r="O155" i="562"/>
  <c r="P155" i="562"/>
  <c r="E159" i="562"/>
  <c r="E158" i="562" s="1"/>
  <c r="F159" i="562"/>
  <c r="G159" i="562"/>
  <c r="G158" i="562" s="1"/>
  <c r="H159" i="562"/>
  <c r="H158" i="562" s="1"/>
  <c r="I159" i="562"/>
  <c r="J159" i="562"/>
  <c r="J158" i="562" s="1"/>
  <c r="K159" i="562"/>
  <c r="K158" i="562" s="1"/>
  <c r="L159" i="562"/>
  <c r="L158" i="562"/>
  <c r="M159" i="562"/>
  <c r="M158" i="562" s="1"/>
  <c r="N159" i="562"/>
  <c r="N158" i="562" s="1"/>
  <c r="O159" i="562"/>
  <c r="O158" i="562" s="1"/>
  <c r="P159" i="562"/>
  <c r="P158" i="562" s="1"/>
  <c r="Q167" i="562"/>
  <c r="P167" i="562"/>
  <c r="Q164" i="562"/>
  <c r="E164" i="562"/>
  <c r="E167" i="562"/>
  <c r="F164" i="562"/>
  <c r="F167" i="562"/>
  <c r="G164" i="562"/>
  <c r="G167" i="562"/>
  <c r="G166" i="562" s="1"/>
  <c r="H167" i="562"/>
  <c r="I164" i="562" s="1"/>
  <c r="I166" i="562" s="1"/>
  <c r="I167" i="562"/>
  <c r="J164" i="562"/>
  <c r="J167" i="562"/>
  <c r="K164" i="562"/>
  <c r="K167" i="562"/>
  <c r="K166" i="562" s="1"/>
  <c r="L164" i="562"/>
  <c r="L167" i="562"/>
  <c r="M164" i="562" s="1"/>
  <c r="M166" i="562" s="1"/>
  <c r="M167" i="562"/>
  <c r="N164" i="562"/>
  <c r="N167" i="562"/>
  <c r="O164" i="562"/>
  <c r="O167" i="562"/>
  <c r="O166" i="562" s="1"/>
  <c r="E166" i="562"/>
  <c r="F166" i="562"/>
  <c r="J166" i="562"/>
  <c r="L166" i="562"/>
  <c r="N166" i="562"/>
  <c r="D170" i="562"/>
  <c r="E170" i="562"/>
  <c r="F170" i="562"/>
  <c r="F172" i="562" s="1"/>
  <c r="G174" i="562" s="1"/>
  <c r="G170" i="562"/>
  <c r="H170" i="562"/>
  <c r="H172" i="562" s="1"/>
  <c r="I170" i="562"/>
  <c r="J170" i="562"/>
  <c r="K170" i="562"/>
  <c r="L170" i="562"/>
  <c r="M170" i="562"/>
  <c r="N170" i="562"/>
  <c r="N172" i="562" s="1"/>
  <c r="O174" i="562" s="1"/>
  <c r="O170" i="562"/>
  <c r="P170" i="562"/>
  <c r="P172" i="562" s="1"/>
  <c r="P179" i="562" s="1"/>
  <c r="Q170" i="562"/>
  <c r="D171" i="562"/>
  <c r="E171" i="562"/>
  <c r="F171" i="562"/>
  <c r="G171" i="562"/>
  <c r="H171" i="562"/>
  <c r="I171" i="562"/>
  <c r="J171" i="562"/>
  <c r="K171" i="562"/>
  <c r="L171" i="562"/>
  <c r="L172" i="562" s="1"/>
  <c r="M171" i="562"/>
  <c r="N171" i="562"/>
  <c r="O171" i="562"/>
  <c r="O172" i="562" s="1"/>
  <c r="P171" i="562"/>
  <c r="Q171" i="562"/>
  <c r="D172" i="562"/>
  <c r="E174" i="562" s="1"/>
  <c r="E172" i="562"/>
  <c r="E179" i="562" s="1"/>
  <c r="E178" i="562" s="1"/>
  <c r="G172" i="562"/>
  <c r="G179" i="562" s="1"/>
  <c r="I172" i="562"/>
  <c r="I179" i="562" s="1"/>
  <c r="J172" i="562"/>
  <c r="K174" i="562" s="1"/>
  <c r="K172" i="562"/>
  <c r="M172" i="562"/>
  <c r="Q172" i="562"/>
  <c r="Q179" i="562" s="1"/>
  <c r="Q178" i="562" s="1"/>
  <c r="H174" i="562"/>
  <c r="J174" i="562"/>
  <c r="Q174" i="562"/>
  <c r="R174" i="562"/>
  <c r="E175" i="562"/>
  <c r="F175" i="562"/>
  <c r="G175" i="562"/>
  <c r="H175" i="562"/>
  <c r="I175" i="562"/>
  <c r="J175" i="562"/>
  <c r="K175" i="562"/>
  <c r="L175" i="562"/>
  <c r="M175" i="562"/>
  <c r="N175" i="562"/>
  <c r="O175" i="562"/>
  <c r="P175" i="562"/>
  <c r="Q175" i="562"/>
  <c r="E176" i="562"/>
  <c r="F176" i="562"/>
  <c r="G176" i="562"/>
  <c r="H176" i="562"/>
  <c r="I176" i="562"/>
  <c r="J176" i="562"/>
  <c r="K176" i="562"/>
  <c r="L176" i="562"/>
  <c r="M176" i="562"/>
  <c r="N176" i="562"/>
  <c r="O176" i="562"/>
  <c r="P176" i="562"/>
  <c r="Q176" i="562"/>
  <c r="R176" i="562"/>
  <c r="T176" i="562"/>
  <c r="U176" i="562"/>
  <c r="V176" i="562"/>
  <c r="W176" i="562"/>
  <c r="X176" i="562"/>
  <c r="Y176" i="562"/>
  <c r="Z176" i="562"/>
  <c r="AB176" i="562"/>
  <c r="AC176" i="562"/>
  <c r="E177" i="562"/>
  <c r="F177" i="562"/>
  <c r="G177" i="562"/>
  <c r="G178" i="562" s="1"/>
  <c r="H177" i="562"/>
  <c r="I177" i="562"/>
  <c r="J177" i="562"/>
  <c r="K177" i="562"/>
  <c r="L177" i="562"/>
  <c r="M177" i="562"/>
  <c r="N177" i="562"/>
  <c r="O177" i="562"/>
  <c r="P177" i="562"/>
  <c r="Q177" i="562"/>
  <c r="F179" i="562"/>
  <c r="J179" i="562"/>
  <c r="G191" i="562"/>
  <c r="H191" i="562"/>
  <c r="I191" i="562"/>
  <c r="J191" i="562"/>
  <c r="K191" i="562"/>
  <c r="L191" i="562"/>
  <c r="M191" i="562"/>
  <c r="N191" i="562"/>
  <c r="O191" i="562"/>
  <c r="P191" i="562"/>
  <c r="Q191" i="562"/>
  <c r="G192" i="562"/>
  <c r="H192" i="562"/>
  <c r="K192" i="562"/>
  <c r="M192" i="562"/>
  <c r="N192" i="562"/>
  <c r="P192" i="562"/>
  <c r="Q192" i="562"/>
  <c r="G193" i="562"/>
  <c r="I193" i="562"/>
  <c r="J193" i="562"/>
  <c r="P193" i="562"/>
  <c r="Q193" i="562"/>
  <c r="D2" i="731"/>
  <c r="AC2" i="551"/>
  <c r="E17" i="551"/>
  <c r="F17" i="551"/>
  <c r="F19" i="551" s="1"/>
  <c r="G17" i="551"/>
  <c r="H17" i="551"/>
  <c r="I17" i="551"/>
  <c r="J17" i="551"/>
  <c r="J19" i="551" s="1"/>
  <c r="K17" i="551"/>
  <c r="K19" i="551" s="1"/>
  <c r="L17" i="551"/>
  <c r="L19" i="551" s="1"/>
  <c r="M17" i="551"/>
  <c r="N17" i="551"/>
  <c r="O17" i="551"/>
  <c r="O19" i="551" s="1"/>
  <c r="P17" i="551"/>
  <c r="Q17" i="551"/>
  <c r="Q19" i="551" s="1"/>
  <c r="E18" i="551"/>
  <c r="F18" i="551"/>
  <c r="G18" i="551"/>
  <c r="H18" i="551"/>
  <c r="I18" i="551"/>
  <c r="J18" i="551"/>
  <c r="K18" i="551"/>
  <c r="L18" i="551"/>
  <c r="M18" i="551"/>
  <c r="M19" i="551" s="1"/>
  <c r="N18" i="551"/>
  <c r="N19" i="551" s="1"/>
  <c r="O18" i="551"/>
  <c r="P18" i="551"/>
  <c r="P19" i="551" s="1"/>
  <c r="Q18" i="551"/>
  <c r="E19" i="551"/>
  <c r="G19" i="551"/>
  <c r="H19" i="551"/>
  <c r="I19" i="551"/>
  <c r="E152" i="551"/>
  <c r="E21" i="551" s="1"/>
  <c r="D152" i="551"/>
  <c r="F152" i="551"/>
  <c r="G152" i="551"/>
  <c r="G21" i="551" s="1"/>
  <c r="H152" i="551"/>
  <c r="H21" i="551" s="1"/>
  <c r="I152" i="551"/>
  <c r="I21" i="551" s="1"/>
  <c r="J152" i="551"/>
  <c r="J21" i="551" s="1"/>
  <c r="J20" i="551" s="1"/>
  <c r="K152" i="551"/>
  <c r="L21" i="551" s="1"/>
  <c r="L20" i="551" s="1"/>
  <c r="L152" i="551"/>
  <c r="M152" i="551"/>
  <c r="M21" i="551"/>
  <c r="M20" i="551" s="1"/>
  <c r="N152" i="551"/>
  <c r="N21" i="551"/>
  <c r="O152" i="551"/>
  <c r="O21" i="551"/>
  <c r="P152" i="551"/>
  <c r="P21" i="551" s="1"/>
  <c r="Q152" i="551"/>
  <c r="J67" i="551"/>
  <c r="M70" i="551"/>
  <c r="N70" i="551" s="1"/>
  <c r="O70" i="551" s="1"/>
  <c r="P70" i="551" s="1"/>
  <c r="M32" i="551"/>
  <c r="N71" i="551"/>
  <c r="O72" i="551"/>
  <c r="P73" i="551"/>
  <c r="P35" i="551" s="1"/>
  <c r="E52" i="551"/>
  <c r="F52" i="551"/>
  <c r="G52" i="551"/>
  <c r="H52" i="551"/>
  <c r="I52" i="551"/>
  <c r="J52" i="551"/>
  <c r="K52" i="551"/>
  <c r="L52" i="551"/>
  <c r="M52" i="551"/>
  <c r="N52" i="551"/>
  <c r="O52" i="551"/>
  <c r="P52" i="551"/>
  <c r="Q52" i="551"/>
  <c r="Q159" i="551"/>
  <c r="Q158" i="551" s="1"/>
  <c r="R157" i="551"/>
  <c r="Q155" i="551"/>
  <c r="S157" i="551"/>
  <c r="S176" i="551" s="1"/>
  <c r="T157" i="551"/>
  <c r="T176" i="551" s="1"/>
  <c r="U157" i="551"/>
  <c r="V157" i="551"/>
  <c r="V176" i="551" s="1"/>
  <c r="W157" i="551"/>
  <c r="W176" i="551" s="1"/>
  <c r="X157" i="551"/>
  <c r="Y157" i="551"/>
  <c r="Z157" i="551"/>
  <c r="AA157" i="551"/>
  <c r="AA176" i="551" s="1"/>
  <c r="AB157" i="551"/>
  <c r="AC157" i="551"/>
  <c r="G153" i="551"/>
  <c r="H153" i="551"/>
  <c r="H192" i="551" s="1"/>
  <c r="I153" i="551"/>
  <c r="J153" i="551"/>
  <c r="K153" i="551"/>
  <c r="K192" i="551" s="1"/>
  <c r="L153" i="551"/>
  <c r="L192" i="551" s="1"/>
  <c r="M153" i="551"/>
  <c r="M192" i="551" s="1"/>
  <c r="N153" i="551"/>
  <c r="N192" i="551" s="1"/>
  <c r="O153" i="551"/>
  <c r="P153" i="551"/>
  <c r="P192" i="551" s="1"/>
  <c r="Q153" i="551"/>
  <c r="E155" i="551"/>
  <c r="F155" i="551"/>
  <c r="F158" i="551" s="1"/>
  <c r="G155" i="551"/>
  <c r="G158" i="551" s="1"/>
  <c r="H155" i="551"/>
  <c r="I155" i="551"/>
  <c r="J155" i="551"/>
  <c r="K155" i="551"/>
  <c r="L155" i="551"/>
  <c r="M155" i="551"/>
  <c r="N155" i="551"/>
  <c r="O155" i="551"/>
  <c r="O158" i="551" s="1"/>
  <c r="P155" i="551"/>
  <c r="E159" i="551"/>
  <c r="E158" i="551" s="1"/>
  <c r="F159" i="551"/>
  <c r="G159" i="551"/>
  <c r="H159" i="551"/>
  <c r="H158" i="551" s="1"/>
  <c r="I159" i="551"/>
  <c r="I158" i="551" s="1"/>
  <c r="J159" i="551"/>
  <c r="J158" i="551"/>
  <c r="K159" i="551"/>
  <c r="K158" i="551"/>
  <c r="L159" i="551"/>
  <c r="L158" i="551" s="1"/>
  <c r="M159" i="551"/>
  <c r="M158" i="551" s="1"/>
  <c r="N159" i="551"/>
  <c r="N158" i="551"/>
  <c r="O159" i="551"/>
  <c r="P159" i="551"/>
  <c r="P158" i="551" s="1"/>
  <c r="Q167" i="551"/>
  <c r="P167" i="551"/>
  <c r="E164" i="551"/>
  <c r="E166" i="551" s="1"/>
  <c r="E167" i="551"/>
  <c r="F164" i="551"/>
  <c r="F167" i="551"/>
  <c r="G164" i="551"/>
  <c r="G167" i="551"/>
  <c r="H164" i="551"/>
  <c r="H166" i="551" s="1"/>
  <c r="H167" i="551"/>
  <c r="I164" i="551"/>
  <c r="I166" i="551" s="1"/>
  <c r="I167" i="551"/>
  <c r="J164" i="551"/>
  <c r="J167" i="551"/>
  <c r="K164" i="551"/>
  <c r="K167" i="551"/>
  <c r="L164" i="551"/>
  <c r="L167" i="551"/>
  <c r="M164" i="551"/>
  <c r="M166" i="551" s="1"/>
  <c r="M167" i="551"/>
  <c r="N164" i="551"/>
  <c r="N167" i="551"/>
  <c r="O164" i="551"/>
  <c r="O167" i="551"/>
  <c r="O166" i="551" s="1"/>
  <c r="P164" i="551"/>
  <c r="F166" i="551"/>
  <c r="G166" i="551"/>
  <c r="J166" i="551"/>
  <c r="K166" i="551"/>
  <c r="L166" i="551"/>
  <c r="N166" i="551"/>
  <c r="D170" i="551"/>
  <c r="E170" i="551"/>
  <c r="F170" i="551"/>
  <c r="G170" i="551"/>
  <c r="H170" i="551"/>
  <c r="I170" i="551"/>
  <c r="I172" i="551" s="1"/>
  <c r="I193" i="551" s="1"/>
  <c r="J170" i="551"/>
  <c r="K170" i="551"/>
  <c r="L170" i="551"/>
  <c r="M170" i="551"/>
  <c r="N170" i="551"/>
  <c r="N172" i="551" s="1"/>
  <c r="O170" i="551"/>
  <c r="P170" i="551"/>
  <c r="P172" i="551" s="1"/>
  <c r="Q170" i="551"/>
  <c r="Q172" i="551" s="1"/>
  <c r="D171" i="551"/>
  <c r="D172" i="551" s="1"/>
  <c r="E174" i="551" s="1"/>
  <c r="E171" i="551"/>
  <c r="F171" i="551"/>
  <c r="F172" i="551" s="1"/>
  <c r="G171" i="551"/>
  <c r="H171" i="551"/>
  <c r="I171" i="551"/>
  <c r="J171" i="551"/>
  <c r="K171" i="551"/>
  <c r="L171" i="551"/>
  <c r="M171" i="551"/>
  <c r="M172" i="551" s="1"/>
  <c r="N171" i="551"/>
  <c r="O171" i="551"/>
  <c r="P171" i="551"/>
  <c r="Q171" i="551"/>
  <c r="E172" i="551"/>
  <c r="H172" i="551"/>
  <c r="I174" i="551" s="1"/>
  <c r="J172" i="551"/>
  <c r="K174" i="551" s="1"/>
  <c r="K172" i="551"/>
  <c r="L172" i="551"/>
  <c r="J174" i="551"/>
  <c r="J178" i="551" s="1"/>
  <c r="E175" i="551"/>
  <c r="F175" i="551"/>
  <c r="G175" i="551"/>
  <c r="H175" i="551"/>
  <c r="I175" i="551"/>
  <c r="J175" i="551"/>
  <c r="K175" i="551"/>
  <c r="L175" i="551"/>
  <c r="M175" i="551"/>
  <c r="N175" i="551"/>
  <c r="O175" i="551"/>
  <c r="P175" i="551"/>
  <c r="Q175" i="551"/>
  <c r="E176" i="551"/>
  <c r="F176" i="551"/>
  <c r="G176" i="551"/>
  <c r="H176" i="551"/>
  <c r="I176" i="551"/>
  <c r="J176" i="551"/>
  <c r="K176" i="551"/>
  <c r="L176" i="551"/>
  <c r="M176" i="551"/>
  <c r="N176" i="551"/>
  <c r="O176" i="551"/>
  <c r="P176" i="551"/>
  <c r="Q176" i="551"/>
  <c r="R176" i="551"/>
  <c r="U176" i="551"/>
  <c r="X176" i="551"/>
  <c r="Y176" i="551"/>
  <c r="Z176" i="551"/>
  <c r="AB176" i="551"/>
  <c r="AC176" i="551"/>
  <c r="E177" i="551"/>
  <c r="F177" i="551"/>
  <c r="G177" i="551"/>
  <c r="H177" i="551"/>
  <c r="I177" i="551"/>
  <c r="J177" i="551"/>
  <c r="K177" i="551"/>
  <c r="L177" i="551"/>
  <c r="M177" i="551"/>
  <c r="N177" i="551"/>
  <c r="O177" i="551"/>
  <c r="P177" i="551"/>
  <c r="Q177" i="551"/>
  <c r="H179" i="551"/>
  <c r="J179" i="551"/>
  <c r="G191" i="551"/>
  <c r="H191" i="551"/>
  <c r="I191" i="551"/>
  <c r="J191" i="551"/>
  <c r="K191" i="551"/>
  <c r="L191" i="551"/>
  <c r="M191" i="551"/>
  <c r="N191" i="551"/>
  <c r="O191" i="551"/>
  <c r="P191" i="551"/>
  <c r="Q191" i="551"/>
  <c r="G192" i="551"/>
  <c r="I192" i="551"/>
  <c r="J192" i="551"/>
  <c r="O192" i="551"/>
  <c r="Q192" i="551"/>
  <c r="H193" i="551"/>
  <c r="J193" i="551"/>
  <c r="N193" i="551"/>
  <c r="CI2" i="2"/>
  <c r="D9" i="2"/>
  <c r="E9" i="2"/>
  <c r="I10" i="2" s="1"/>
  <c r="F9" i="2"/>
  <c r="J10" i="2" s="1"/>
  <c r="G9" i="2"/>
  <c r="K10" i="2" s="1"/>
  <c r="H9" i="2"/>
  <c r="I9" i="2"/>
  <c r="J9" i="2"/>
  <c r="K9" i="2"/>
  <c r="L9" i="2"/>
  <c r="M9" i="2"/>
  <c r="N9" i="2"/>
  <c r="O9" i="2"/>
  <c r="O10" i="2" s="1"/>
  <c r="P9" i="2"/>
  <c r="P10" i="2" s="1"/>
  <c r="Q9" i="2"/>
  <c r="Q10" i="2" s="1"/>
  <c r="R9" i="2"/>
  <c r="R10" i="2" s="1"/>
  <c r="R12" i="2" s="1"/>
  <c r="S9" i="2"/>
  <c r="S10" i="2" s="1"/>
  <c r="T9" i="2"/>
  <c r="U9" i="2"/>
  <c r="U10" i="2" s="1"/>
  <c r="V9" i="2"/>
  <c r="V10" i="2" s="1"/>
  <c r="V12" i="2" s="1"/>
  <c r="W9" i="2"/>
  <c r="W10" i="2" s="1"/>
  <c r="W12" i="2" s="1"/>
  <c r="X9" i="2"/>
  <c r="Y9" i="2"/>
  <c r="Z9" i="2"/>
  <c r="AA9" i="2"/>
  <c r="AB9" i="2"/>
  <c r="AC9" i="2"/>
  <c r="AD9" i="2"/>
  <c r="AE9" i="2"/>
  <c r="AE10" i="2" s="1"/>
  <c r="AF9" i="2"/>
  <c r="AF10" i="2" s="1"/>
  <c r="AG9" i="2"/>
  <c r="AG10" i="2" s="1"/>
  <c r="AH9" i="2"/>
  <c r="AH10" i="2" s="1"/>
  <c r="AI9" i="2"/>
  <c r="AI10" i="2" s="1"/>
  <c r="AJ9" i="2"/>
  <c r="AJ10" i="2" s="1"/>
  <c r="AJ12" i="2" s="1"/>
  <c r="AK9" i="2"/>
  <c r="AK10" i="2" s="1"/>
  <c r="AL9" i="2"/>
  <c r="AL10" i="2" s="1"/>
  <c r="AM9" i="2"/>
  <c r="AM10" i="2" s="1"/>
  <c r="AM12" i="2" s="1"/>
  <c r="AN9" i="2"/>
  <c r="AO9" i="2"/>
  <c r="AP9" i="2"/>
  <c r="AQ9" i="2"/>
  <c r="AR9" i="2"/>
  <c r="AS9" i="2"/>
  <c r="AT9" i="2"/>
  <c r="AU9" i="2"/>
  <c r="AU10" i="2" s="1"/>
  <c r="AV9" i="2"/>
  <c r="AV10" i="2" s="1"/>
  <c r="AW9" i="2"/>
  <c r="AW10" i="2" s="1"/>
  <c r="AX9" i="2"/>
  <c r="AX10" i="2" s="1"/>
  <c r="AX12" i="2" s="1"/>
  <c r="AY9" i="2"/>
  <c r="AY10" i="2" s="1"/>
  <c r="AY12" i="2" s="1"/>
  <c r="AZ9" i="2"/>
  <c r="BA9" i="2"/>
  <c r="BA10" i="2" s="1"/>
  <c r="BA12" i="2" s="1"/>
  <c r="BB9" i="2"/>
  <c r="BC9" i="2"/>
  <c r="BG10" i="2" s="1"/>
  <c r="BG12" i="2" s="1"/>
  <c r="BD9" i="2"/>
  <c r="BE9" i="2"/>
  <c r="BF9" i="2"/>
  <c r="BG9" i="2"/>
  <c r="BH126" i="2"/>
  <c r="BH9" i="2"/>
  <c r="BI126" i="2"/>
  <c r="BI9" i="2"/>
  <c r="BJ126" i="2"/>
  <c r="BJ9" i="2"/>
  <c r="BJ10" i="2" s="1"/>
  <c r="BG126" i="2"/>
  <c r="BQ9" i="2"/>
  <c r="BR9" i="2"/>
  <c r="BS9" i="2"/>
  <c r="BS10" i="2" s="1"/>
  <c r="BT9" i="2"/>
  <c r="BT10" i="2" s="1"/>
  <c r="BT12" i="2" s="1"/>
  <c r="BU412" i="2"/>
  <c r="BV412" i="2"/>
  <c r="BV9" i="2"/>
  <c r="BW412" i="2"/>
  <c r="BW9" i="2"/>
  <c r="BX412" i="2"/>
  <c r="BY412" i="2"/>
  <c r="BY9" i="2" s="1"/>
  <c r="BZ412" i="2"/>
  <c r="BZ9" i="2"/>
  <c r="CA412" i="2"/>
  <c r="CA126" i="2" s="1"/>
  <c r="CA9" i="2"/>
  <c r="CB412" i="2"/>
  <c r="CB126" i="2" s="1"/>
  <c r="CC412" i="2"/>
  <c r="CC9" i="2" s="1"/>
  <c r="CD412" i="2"/>
  <c r="CD9" i="2"/>
  <c r="CE412" i="2"/>
  <c r="CE9" i="2"/>
  <c r="CF412" i="2"/>
  <c r="CF9" i="2" s="1"/>
  <c r="CG412" i="2"/>
  <c r="CG9" i="2" s="1"/>
  <c r="H10" i="2"/>
  <c r="L12" i="2" s="1"/>
  <c r="L10" i="2"/>
  <c r="M10" i="2"/>
  <c r="N10" i="2"/>
  <c r="T10" i="2"/>
  <c r="X10" i="2"/>
  <c r="X12" i="2" s="1"/>
  <c r="Y10" i="2"/>
  <c r="Y12" i="2" s="1"/>
  <c r="Z10" i="2"/>
  <c r="AA10" i="2"/>
  <c r="AB10" i="2"/>
  <c r="AB12" i="2" s="1"/>
  <c r="AC10" i="2"/>
  <c r="AC12" i="2" s="1"/>
  <c r="AD10" i="2"/>
  <c r="AP10" i="2"/>
  <c r="AR10" i="2"/>
  <c r="AS10" i="2"/>
  <c r="AT10" i="2"/>
  <c r="AZ10" i="2"/>
  <c r="AZ12" i="2" s="1"/>
  <c r="BC10" i="2"/>
  <c r="BD10" i="2"/>
  <c r="BD12" i="2" s="1"/>
  <c r="BE10" i="2"/>
  <c r="BE12" i="2" s="1"/>
  <c r="BF10" i="2"/>
  <c r="BH10" i="2"/>
  <c r="BI10" i="2"/>
  <c r="BW10" i="2"/>
  <c r="BZ10" i="2"/>
  <c r="CA10" i="2"/>
  <c r="CA12" i="2" s="1"/>
  <c r="CD10" i="2"/>
  <c r="CE10" i="2"/>
  <c r="CE12" i="2" s="1"/>
  <c r="CF10" i="2"/>
  <c r="L126" i="2"/>
  <c r="H126" i="2"/>
  <c r="L135" i="2"/>
  <c r="L11" i="2"/>
  <c r="M126" i="2"/>
  <c r="I126" i="2"/>
  <c r="M135" i="2"/>
  <c r="M11" i="2" s="1"/>
  <c r="N126" i="2"/>
  <c r="J126" i="2"/>
  <c r="J149" i="2" s="1"/>
  <c r="N135" i="2"/>
  <c r="N11" i="2"/>
  <c r="O126" i="2"/>
  <c r="S135" i="2" s="1"/>
  <c r="K126" i="2"/>
  <c r="K149" i="2" s="1"/>
  <c r="O135" i="2"/>
  <c r="O11" i="2" s="1"/>
  <c r="P126" i="2"/>
  <c r="P135" i="2"/>
  <c r="P11" i="2"/>
  <c r="Q126" i="2"/>
  <c r="Q135" i="2" s="1"/>
  <c r="Q11" i="2" s="1"/>
  <c r="R126" i="2"/>
  <c r="V135" i="2" s="1"/>
  <c r="V11" i="2" s="1"/>
  <c r="R135" i="2"/>
  <c r="R11" i="2" s="1"/>
  <c r="S126" i="2"/>
  <c r="T126" i="2"/>
  <c r="T135" i="2" s="1"/>
  <c r="U126" i="2"/>
  <c r="U135" i="2" s="1"/>
  <c r="U11" i="2" s="1"/>
  <c r="V126" i="2"/>
  <c r="W126" i="2"/>
  <c r="X126" i="2"/>
  <c r="X135" i="2" s="1"/>
  <c r="Y126" i="2"/>
  <c r="Y135" i="2" s="1"/>
  <c r="Z126" i="2"/>
  <c r="Z149" i="2" s="1"/>
  <c r="Z135" i="2"/>
  <c r="Z11" i="2" s="1"/>
  <c r="AA126" i="2"/>
  <c r="AB126" i="2"/>
  <c r="AF135" i="2" s="1"/>
  <c r="AB135" i="2"/>
  <c r="AB144" i="2" s="1"/>
  <c r="AB13" i="2" s="1"/>
  <c r="AB11" i="2"/>
  <c r="AC126" i="2"/>
  <c r="AC149" i="2" s="1"/>
  <c r="AC135" i="2"/>
  <c r="AD126" i="2"/>
  <c r="AE126" i="2"/>
  <c r="AE135" i="2"/>
  <c r="AE11" i="2" s="1"/>
  <c r="AF126" i="2"/>
  <c r="AG126" i="2"/>
  <c r="AH126" i="2"/>
  <c r="AL135" i="2" s="1"/>
  <c r="AL11" i="2" s="1"/>
  <c r="AI126" i="2"/>
  <c r="AI149" i="2" s="1"/>
  <c r="AJ126" i="2"/>
  <c r="AJ135" i="2"/>
  <c r="AJ11" i="2"/>
  <c r="AK126" i="2"/>
  <c r="AK135" i="2" s="1"/>
  <c r="AK11" i="2" s="1"/>
  <c r="AL126" i="2"/>
  <c r="AM126" i="2"/>
  <c r="AQ135" i="2" s="1"/>
  <c r="AQ11" i="2" s="1"/>
  <c r="AN126" i="2"/>
  <c r="AR135" i="2" s="1"/>
  <c r="AN135" i="2"/>
  <c r="AN11" i="2"/>
  <c r="AO126" i="2"/>
  <c r="AO135" i="2"/>
  <c r="AO144" i="2" s="1"/>
  <c r="AO13" i="2" s="1"/>
  <c r="AO11" i="2"/>
  <c r="AP126" i="2"/>
  <c r="AP149" i="2" s="1"/>
  <c r="AP135" i="2"/>
  <c r="AQ126" i="2"/>
  <c r="AR126" i="2"/>
  <c r="AS126" i="2"/>
  <c r="AS135" i="2"/>
  <c r="AS144" i="2" s="1"/>
  <c r="AS13" i="2" s="1"/>
  <c r="AT126" i="2"/>
  <c r="AU126" i="2"/>
  <c r="AU135" i="2" s="1"/>
  <c r="AV126" i="2"/>
  <c r="AV135" i="2"/>
  <c r="AV11" i="2"/>
  <c r="AW126" i="2"/>
  <c r="AX126" i="2"/>
  <c r="AX135" i="2" s="1"/>
  <c r="AY126" i="2"/>
  <c r="AY135" i="2" s="1"/>
  <c r="AZ126" i="2"/>
  <c r="BD135" i="2" s="1"/>
  <c r="AZ135" i="2"/>
  <c r="AZ11" i="2"/>
  <c r="BA126" i="2"/>
  <c r="BA135" i="2" s="1"/>
  <c r="BA11" i="2" s="1"/>
  <c r="BB126" i="2"/>
  <c r="BC126" i="2"/>
  <c r="BC135" i="2" s="1"/>
  <c r="BC11" i="2"/>
  <c r="BD126" i="2"/>
  <c r="BH135" i="2" s="1"/>
  <c r="BH11" i="2" s="1"/>
  <c r="BE126" i="2"/>
  <c r="BF126" i="2"/>
  <c r="BF149" i="2" s="1"/>
  <c r="BI135" i="2"/>
  <c r="BM144" i="2" s="1"/>
  <c r="BM13" i="2" s="1"/>
  <c r="BI11" i="2"/>
  <c r="BJ135" i="2"/>
  <c r="BK11" i="2"/>
  <c r="BL11" i="2"/>
  <c r="BM11" i="2"/>
  <c r="BN11" i="2"/>
  <c r="BO11" i="2"/>
  <c r="BV126" i="2"/>
  <c r="BV159" i="2"/>
  <c r="BW126" i="2"/>
  <c r="BW159" i="2"/>
  <c r="BW135" i="2"/>
  <c r="BW11" i="2" s="1"/>
  <c r="BX159" i="2"/>
  <c r="BY126" i="2"/>
  <c r="BY159" i="2"/>
  <c r="BZ126" i="2"/>
  <c r="BZ159" i="2"/>
  <c r="CA159" i="2"/>
  <c r="CB159" i="2"/>
  <c r="CC126" i="2"/>
  <c r="CC159" i="2"/>
  <c r="CD126" i="2"/>
  <c r="CD135" i="2" s="1"/>
  <c r="CD11" i="2" s="1"/>
  <c r="CD159" i="2"/>
  <c r="CE159" i="2"/>
  <c r="CF159" i="2"/>
  <c r="CG126" i="2"/>
  <c r="CG159" i="2"/>
  <c r="S12" i="2"/>
  <c r="T12" i="2"/>
  <c r="U12" i="2"/>
  <c r="AI12" i="2"/>
  <c r="AK12" i="2"/>
  <c r="BC12" i="2"/>
  <c r="CF12" i="2"/>
  <c r="P144" i="2"/>
  <c r="P13" i="2" s="1"/>
  <c r="U144" i="2"/>
  <c r="U13" i="2" s="1"/>
  <c r="V144" i="2"/>
  <c r="V13" i="2" s="1"/>
  <c r="AN144" i="2"/>
  <c r="AN13" i="2" s="1"/>
  <c r="AZ144" i="2"/>
  <c r="AZ13" i="2"/>
  <c r="BL144" i="2"/>
  <c r="BL13" i="2" s="1"/>
  <c r="BN144" i="2"/>
  <c r="BN13" i="2"/>
  <c r="BO144" i="2"/>
  <c r="BO13" i="2"/>
  <c r="E14" i="2"/>
  <c r="F14" i="2"/>
  <c r="G14" i="2"/>
  <c r="H14" i="2"/>
  <c r="I14" i="2"/>
  <c r="J14" i="2"/>
  <c r="K14" i="2"/>
  <c r="L14" i="2"/>
  <c r="M14" i="2"/>
  <c r="N14" i="2"/>
  <c r="O14" i="2"/>
  <c r="P14" i="2"/>
  <c r="Q14" i="2"/>
  <c r="R14" i="2"/>
  <c r="T14" i="2"/>
  <c r="U14" i="2"/>
  <c r="V14" i="2"/>
  <c r="W14" i="2"/>
  <c r="X14" i="2"/>
  <c r="Y14" i="2"/>
  <c r="Z14" i="2"/>
  <c r="AA14" i="2"/>
  <c r="AB14" i="2"/>
  <c r="AC14" i="2"/>
  <c r="AD14" i="2"/>
  <c r="AE14" i="2"/>
  <c r="AF14" i="2"/>
  <c r="AG14" i="2"/>
  <c r="AJ14" i="2"/>
  <c r="AK14" i="2"/>
  <c r="AL14" i="2"/>
  <c r="AM14" i="2"/>
  <c r="AN14" i="2"/>
  <c r="AO14" i="2"/>
  <c r="AP14" i="2"/>
  <c r="AQ14" i="2"/>
  <c r="AR14" i="2"/>
  <c r="AS14" i="2"/>
  <c r="AT14" i="2"/>
  <c r="AU14" i="2"/>
  <c r="AV14" i="2"/>
  <c r="AW14" i="2"/>
  <c r="AZ14" i="2"/>
  <c r="BA14" i="2"/>
  <c r="BB14" i="2"/>
  <c r="BC14" i="2"/>
  <c r="BD14" i="2"/>
  <c r="BE14" i="2"/>
  <c r="BF14" i="2"/>
  <c r="BG14" i="2"/>
  <c r="BH14" i="2"/>
  <c r="BI14" i="2"/>
  <c r="BJ14" i="2"/>
  <c r="G126" i="2"/>
  <c r="H149" i="2" s="1"/>
  <c r="I149" i="2"/>
  <c r="M149" i="2"/>
  <c r="N149" i="2"/>
  <c r="O149" i="2"/>
  <c r="P149" i="2"/>
  <c r="Q149" i="2"/>
  <c r="R149" i="2"/>
  <c r="S149" i="2"/>
  <c r="T149" i="2"/>
  <c r="Y149" i="2"/>
  <c r="AB149" i="2"/>
  <c r="AE149" i="2"/>
  <c r="AF149" i="2"/>
  <c r="AG149" i="2"/>
  <c r="AH149" i="2"/>
  <c r="AK149" i="2"/>
  <c r="AL149" i="2"/>
  <c r="AM149" i="2"/>
  <c r="AO149" i="2"/>
  <c r="AR149" i="2"/>
  <c r="AS149" i="2"/>
  <c r="AT149" i="2"/>
  <c r="AU149" i="2"/>
  <c r="AV149" i="2"/>
  <c r="AW149" i="2"/>
  <c r="AX149" i="2"/>
  <c r="BA149" i="2"/>
  <c r="BB149" i="2"/>
  <c r="BC149" i="2"/>
  <c r="BE149" i="2"/>
  <c r="BI149" i="2"/>
  <c r="BJ149" i="2"/>
  <c r="BH18" i="2"/>
  <c r="BH19" i="2" s="1"/>
  <c r="BI18" i="2"/>
  <c r="BJ18" i="2"/>
  <c r="BI19" i="2"/>
  <c r="BJ19" i="2"/>
  <c r="BK19" i="2"/>
  <c r="BL19" i="2"/>
  <c r="BM19" i="2"/>
  <c r="BN19" i="2"/>
  <c r="CH19" i="2"/>
  <c r="D416" i="2"/>
  <c r="D25" i="2"/>
  <c r="D21" i="2"/>
  <c r="E416" i="2"/>
  <c r="E25" i="2"/>
  <c r="E21" i="2"/>
  <c r="F416" i="2"/>
  <c r="F25" i="2" s="1"/>
  <c r="G416" i="2"/>
  <c r="G25" i="2"/>
  <c r="G21" i="2" s="1"/>
  <c r="G23" i="2" s="1"/>
  <c r="H416" i="2"/>
  <c r="H25" i="2"/>
  <c r="H26" i="2" s="1"/>
  <c r="I416" i="2"/>
  <c r="I25" i="2" s="1"/>
  <c r="J416" i="2"/>
  <c r="J25" i="2" s="1"/>
  <c r="K416" i="2"/>
  <c r="K25" i="2" s="1"/>
  <c r="L416" i="2"/>
  <c r="L25" i="2" s="1"/>
  <c r="M416" i="2"/>
  <c r="M25" i="2"/>
  <c r="M27" i="2" s="1"/>
  <c r="M21" i="2"/>
  <c r="N416" i="2"/>
  <c r="N25" i="2"/>
  <c r="O416" i="2"/>
  <c r="O25" i="2"/>
  <c r="O21" i="2" s="1"/>
  <c r="P416" i="2"/>
  <c r="P25" i="2"/>
  <c r="Q416" i="2"/>
  <c r="Q25" i="2"/>
  <c r="Q21" i="2" s="1"/>
  <c r="R416" i="2"/>
  <c r="R25" i="2" s="1"/>
  <c r="S416" i="2"/>
  <c r="S25" i="2" s="1"/>
  <c r="S21" i="2"/>
  <c r="T416" i="2"/>
  <c r="T25" i="2"/>
  <c r="T21" i="2"/>
  <c r="U416" i="2"/>
  <c r="U25" i="2"/>
  <c r="U21" i="2"/>
  <c r="U22" i="2" s="1"/>
  <c r="V416" i="2"/>
  <c r="V25" i="2" s="1"/>
  <c r="W416" i="2"/>
  <c r="W25" i="2"/>
  <c r="X416" i="2"/>
  <c r="X25" i="2"/>
  <c r="X26" i="2" s="1"/>
  <c r="Y416" i="2"/>
  <c r="Y25" i="2" s="1"/>
  <c r="Y27" i="2" s="1"/>
  <c r="Z416" i="2"/>
  <c r="Z25" i="2" s="1"/>
  <c r="AA416" i="2"/>
  <c r="AA25" i="2" s="1"/>
  <c r="AA52" i="2" s="1"/>
  <c r="AB416" i="2"/>
  <c r="AB25" i="2"/>
  <c r="AB27" i="2" s="1"/>
  <c r="AB21" i="2"/>
  <c r="AB23" i="2" s="1"/>
  <c r="AC416" i="2"/>
  <c r="AC25" i="2"/>
  <c r="AC27" i="2" s="1"/>
  <c r="AC21" i="2"/>
  <c r="AD416" i="2"/>
  <c r="AD25" i="2"/>
  <c r="AE416" i="2"/>
  <c r="AE25" i="2"/>
  <c r="AE21" i="2" s="1"/>
  <c r="AF416" i="2"/>
  <c r="AF25" i="2"/>
  <c r="AG416" i="2"/>
  <c r="AG25" i="2"/>
  <c r="AG21" i="2"/>
  <c r="AH416" i="2"/>
  <c r="AH25" i="2" s="1"/>
  <c r="AI416" i="2"/>
  <c r="AI25" i="2" s="1"/>
  <c r="AI21" i="2"/>
  <c r="AJ416" i="2"/>
  <c r="AJ25" i="2"/>
  <c r="AJ21" i="2"/>
  <c r="AK416" i="2"/>
  <c r="AK25" i="2"/>
  <c r="AK21" i="2"/>
  <c r="AK22" i="2" s="1"/>
  <c r="AL416" i="2"/>
  <c r="AL25" i="2" s="1"/>
  <c r="AM416" i="2"/>
  <c r="AM25" i="2"/>
  <c r="AN416" i="2"/>
  <c r="AN25" i="2"/>
  <c r="AN26" i="2" s="1"/>
  <c r="AO416" i="2"/>
  <c r="AO25" i="2" s="1"/>
  <c r="AP416" i="2"/>
  <c r="AP25" i="2" s="1"/>
  <c r="AQ416" i="2"/>
  <c r="AQ25" i="2" s="1"/>
  <c r="AQ52" i="2" s="1"/>
  <c r="AR416" i="2"/>
  <c r="AR25" i="2" s="1"/>
  <c r="AS416" i="2"/>
  <c r="AS25" i="2"/>
  <c r="AS27" i="2" s="1"/>
  <c r="AS21" i="2"/>
  <c r="AT416" i="2"/>
  <c r="AT25" i="2"/>
  <c r="AU416" i="2"/>
  <c r="AU25" i="2"/>
  <c r="AU21" i="2" s="1"/>
  <c r="AV416" i="2"/>
  <c r="AV25" i="2"/>
  <c r="AW416" i="2"/>
  <c r="AW25" i="2"/>
  <c r="AW21" i="2" s="1"/>
  <c r="AX416" i="2"/>
  <c r="AX25" i="2" s="1"/>
  <c r="AY416" i="2"/>
  <c r="AY25" i="2" s="1"/>
  <c r="AY21" i="2" s="1"/>
  <c r="AZ416" i="2"/>
  <c r="AZ25" i="2"/>
  <c r="AZ21" i="2"/>
  <c r="BA416" i="2"/>
  <c r="BA25" i="2"/>
  <c r="BA21" i="2"/>
  <c r="BA22" i="2" s="1"/>
  <c r="BB416" i="2"/>
  <c r="BB25" i="2" s="1"/>
  <c r="BC416" i="2"/>
  <c r="BC25" i="2"/>
  <c r="BC26" i="2" s="1"/>
  <c r="BD416" i="2"/>
  <c r="BD25" i="2"/>
  <c r="BD26" i="2" s="1"/>
  <c r="BE416" i="2"/>
  <c r="BE25" i="2" s="1"/>
  <c r="BF416" i="2"/>
  <c r="BF25" i="2" s="1"/>
  <c r="BG416" i="2"/>
  <c r="BG25" i="2" s="1"/>
  <c r="BH416" i="2"/>
  <c r="BH25" i="2" s="1"/>
  <c r="BH26" i="2" s="1"/>
  <c r="BI416" i="2"/>
  <c r="BI25" i="2"/>
  <c r="BI21" i="2"/>
  <c r="BJ416" i="2"/>
  <c r="BJ25" i="2"/>
  <c r="BQ416" i="2"/>
  <c r="BQ25" i="2"/>
  <c r="BQ21" i="2" s="1"/>
  <c r="BQ23" i="2" s="1"/>
  <c r="BR416" i="2"/>
  <c r="BR25" i="2"/>
  <c r="BR27" i="2" s="1"/>
  <c r="BS416" i="2"/>
  <c r="BS25" i="2"/>
  <c r="BS27" i="2" s="1"/>
  <c r="BS21" i="2"/>
  <c r="BT416" i="2"/>
  <c r="BT25" i="2"/>
  <c r="BT27" i="2" s="1"/>
  <c r="BT21" i="2"/>
  <c r="BT23" i="2" s="1"/>
  <c r="BU415" i="2"/>
  <c r="BU416" i="2" s="1"/>
  <c r="BU25" i="2" s="1"/>
  <c r="BV415" i="2"/>
  <c r="BV416" i="2"/>
  <c r="BV25" i="2" s="1"/>
  <c r="BW415" i="2"/>
  <c r="BW416" i="2" s="1"/>
  <c r="BW25" i="2" s="1"/>
  <c r="BW21" i="2" s="1"/>
  <c r="BX415" i="2"/>
  <c r="BY415" i="2"/>
  <c r="BY416" i="2" s="1"/>
  <c r="BY25" i="2"/>
  <c r="BZ415" i="2"/>
  <c r="BZ416" i="2"/>
  <c r="BZ25" i="2" s="1"/>
  <c r="CA415" i="2"/>
  <c r="CA416" i="2" s="1"/>
  <c r="CA25" i="2" s="1"/>
  <c r="BT22" i="2"/>
  <c r="D23" i="2"/>
  <c r="E23" i="2"/>
  <c r="M23" i="2"/>
  <c r="T23" i="2"/>
  <c r="U23" i="2"/>
  <c r="AC23" i="2"/>
  <c r="AG23" i="2"/>
  <c r="AJ23" i="2"/>
  <c r="AK23" i="2"/>
  <c r="AS23" i="2"/>
  <c r="AZ23" i="2"/>
  <c r="BA23" i="2"/>
  <c r="BI23" i="2"/>
  <c r="BS23" i="2"/>
  <c r="BI27" i="2"/>
  <c r="BM27" i="2"/>
  <c r="Q26" i="2"/>
  <c r="T26" i="2"/>
  <c r="U26" i="2"/>
  <c r="V26" i="2"/>
  <c r="AB26" i="2"/>
  <c r="AG26" i="2"/>
  <c r="AJ26" i="2"/>
  <c r="AK26" i="2"/>
  <c r="AR26" i="2"/>
  <c r="AW26" i="2"/>
  <c r="AZ26" i="2"/>
  <c r="BA26" i="2"/>
  <c r="BT26" i="2"/>
  <c r="BW26" i="2"/>
  <c r="D27" i="2"/>
  <c r="E27" i="2"/>
  <c r="G27" i="2"/>
  <c r="O27" i="2"/>
  <c r="Q27" i="2"/>
  <c r="T27" i="2"/>
  <c r="U27" i="2"/>
  <c r="W27" i="2"/>
  <c r="AE27" i="2"/>
  <c r="AG27" i="2"/>
  <c r="AJ27" i="2"/>
  <c r="AK27" i="2"/>
  <c r="AM27" i="2"/>
  <c r="AU27" i="2"/>
  <c r="AW27" i="2"/>
  <c r="AZ27" i="2"/>
  <c r="BA27" i="2"/>
  <c r="BC27" i="2"/>
  <c r="BE27" i="2"/>
  <c r="BQ27" i="2"/>
  <c r="BW27" i="2"/>
  <c r="D29" i="2"/>
  <c r="E29" i="2"/>
  <c r="F29" i="2"/>
  <c r="G29" i="2"/>
  <c r="H29" i="2"/>
  <c r="I29" i="2"/>
  <c r="I35" i="2" s="1"/>
  <c r="J29" i="2"/>
  <c r="J41" i="2" s="1"/>
  <c r="K29" i="2"/>
  <c r="L29" i="2"/>
  <c r="L32" i="2" s="1"/>
  <c r="M29" i="2"/>
  <c r="M32" i="2" s="1"/>
  <c r="M52" i="2" s="1"/>
  <c r="N29" i="2"/>
  <c r="N32" i="2" s="1"/>
  <c r="O29" i="2"/>
  <c r="O32" i="2" s="1"/>
  <c r="O44" i="2" s="1"/>
  <c r="P29" i="2"/>
  <c r="Q29" i="2"/>
  <c r="R29" i="2"/>
  <c r="V35" i="2" s="1"/>
  <c r="S29" i="2"/>
  <c r="T29" i="2"/>
  <c r="U29" i="2"/>
  <c r="V29" i="2"/>
  <c r="W29" i="2"/>
  <c r="X29" i="2"/>
  <c r="Y29" i="2"/>
  <c r="Y35" i="2" s="1"/>
  <c r="Z29" i="2"/>
  <c r="Z41" i="2" s="1"/>
  <c r="AA29" i="2"/>
  <c r="AB29" i="2"/>
  <c r="AB32" i="2" s="1"/>
  <c r="AC29" i="2"/>
  <c r="AC32" i="2" s="1"/>
  <c r="AC52" i="2" s="1"/>
  <c r="AD29" i="2"/>
  <c r="AD32" i="2" s="1"/>
  <c r="AE29" i="2"/>
  <c r="AE32" i="2" s="1"/>
  <c r="AF29" i="2"/>
  <c r="AG29" i="2"/>
  <c r="AH29" i="2"/>
  <c r="AL35" i="2" s="1"/>
  <c r="AI29" i="2"/>
  <c r="AJ29" i="2"/>
  <c r="AK29" i="2"/>
  <c r="AL29" i="2"/>
  <c r="AM29" i="2"/>
  <c r="AN29" i="2"/>
  <c r="AO29" i="2"/>
  <c r="AP29" i="2"/>
  <c r="AP41" i="2" s="1"/>
  <c r="AQ29" i="2"/>
  <c r="AR29" i="2"/>
  <c r="AR32" i="2" s="1"/>
  <c r="AS29" i="2"/>
  <c r="AS32" i="2" s="1"/>
  <c r="AS52" i="2" s="1"/>
  <c r="AT29" i="2"/>
  <c r="AT32" i="2" s="1"/>
  <c r="AU29" i="2"/>
  <c r="AU32" i="2" s="1"/>
  <c r="AU44" i="2" s="1"/>
  <c r="AV29" i="2"/>
  <c r="AW29" i="2"/>
  <c r="AX29" i="2"/>
  <c r="BB35" i="2" s="1"/>
  <c r="AY29" i="2"/>
  <c r="AZ29" i="2"/>
  <c r="BA29" i="2"/>
  <c r="BB29" i="2"/>
  <c r="BC29" i="2"/>
  <c r="BD29" i="2"/>
  <c r="BE29" i="2"/>
  <c r="BF29" i="2"/>
  <c r="BF41" i="2" s="1"/>
  <c r="BG29" i="2"/>
  <c r="BH29" i="2"/>
  <c r="BH41" i="2" s="1"/>
  <c r="BI29" i="2"/>
  <c r="BI35" i="2" s="1"/>
  <c r="BJ29" i="2"/>
  <c r="BJ32" i="2" s="1"/>
  <c r="BK29" i="2"/>
  <c r="BL29" i="2"/>
  <c r="BM29" i="2"/>
  <c r="BN29" i="2"/>
  <c r="BO29" i="2"/>
  <c r="BQ29" i="2"/>
  <c r="BR29" i="2"/>
  <c r="BS29" i="2"/>
  <c r="BT29" i="2"/>
  <c r="BU420" i="2"/>
  <c r="BU29" i="2"/>
  <c r="BV420" i="2"/>
  <c r="BV29" i="2" s="1"/>
  <c r="BW420" i="2"/>
  <c r="BW29" i="2" s="1"/>
  <c r="BX420" i="2"/>
  <c r="BX29" i="2"/>
  <c r="BY420" i="2"/>
  <c r="BY29" i="2"/>
  <c r="BZ420" i="2"/>
  <c r="BZ29" i="2"/>
  <c r="CA420" i="2"/>
  <c r="CA29" i="2" s="1"/>
  <c r="CB420" i="2"/>
  <c r="CB29" i="2" s="1"/>
  <c r="CD29" i="2"/>
  <c r="CD41" i="2" s="1"/>
  <c r="CF29" i="2"/>
  <c r="D30" i="2"/>
  <c r="E30" i="2"/>
  <c r="F30" i="2"/>
  <c r="G30" i="2"/>
  <c r="H30" i="2"/>
  <c r="I30" i="2"/>
  <c r="J30" i="2"/>
  <c r="K30" i="2"/>
  <c r="L30" i="2"/>
  <c r="M30" i="2"/>
  <c r="N30" i="2"/>
  <c r="O30" i="2"/>
  <c r="P30" i="2"/>
  <c r="Q30" i="2"/>
  <c r="Q36" i="2" s="1"/>
  <c r="R30" i="2"/>
  <c r="S30" i="2"/>
  <c r="S36" i="2" s="1"/>
  <c r="T30" i="2"/>
  <c r="U30" i="2"/>
  <c r="V30" i="2"/>
  <c r="V36" i="2" s="1"/>
  <c r="W30" i="2"/>
  <c r="X30" i="2"/>
  <c r="Y30" i="2"/>
  <c r="Z30" i="2"/>
  <c r="AA30" i="2"/>
  <c r="AB30" i="2"/>
  <c r="AC30" i="2"/>
  <c r="AD30" i="2"/>
  <c r="AE30" i="2"/>
  <c r="AF30" i="2"/>
  <c r="AG30" i="2"/>
  <c r="AG36" i="2" s="1"/>
  <c r="AH30" i="2"/>
  <c r="AI30" i="2"/>
  <c r="AI36" i="2" s="1"/>
  <c r="AJ30" i="2"/>
  <c r="AK30" i="2"/>
  <c r="AL30" i="2"/>
  <c r="AL36" i="2" s="1"/>
  <c r="AM30" i="2"/>
  <c r="AN30" i="2"/>
  <c r="AO30" i="2"/>
  <c r="AP30" i="2"/>
  <c r="AQ30" i="2"/>
  <c r="AR30" i="2"/>
  <c r="AS30" i="2"/>
  <c r="AT30" i="2"/>
  <c r="AU30" i="2"/>
  <c r="AV30" i="2"/>
  <c r="AW30" i="2"/>
  <c r="AW36" i="2" s="1"/>
  <c r="AX30" i="2"/>
  <c r="AY30" i="2"/>
  <c r="AY36" i="2" s="1"/>
  <c r="AZ30" i="2"/>
  <c r="CF30" i="2" s="1"/>
  <c r="BA30" i="2"/>
  <c r="BB30" i="2"/>
  <c r="BB36" i="2" s="1"/>
  <c r="BC30" i="2"/>
  <c r="BD30" i="2"/>
  <c r="BE30" i="2"/>
  <c r="BF30" i="2"/>
  <c r="BG30" i="2"/>
  <c r="BH30" i="2"/>
  <c r="BI30" i="2"/>
  <c r="BJ30" i="2"/>
  <c r="BK30" i="2"/>
  <c r="BL30" i="2"/>
  <c r="BM30" i="2"/>
  <c r="BN30" i="2"/>
  <c r="BO30" i="2"/>
  <c r="BQ30" i="2"/>
  <c r="BQ42" i="2" s="1"/>
  <c r="BR30" i="2"/>
  <c r="BR32" i="2" s="1"/>
  <c r="BS30" i="2"/>
  <c r="BS32" i="2" s="1"/>
  <c r="BT30" i="2"/>
  <c r="BT32" i="2" s="1"/>
  <c r="BT38" i="2" s="1"/>
  <c r="BU421" i="2"/>
  <c r="BU30" i="2" s="1"/>
  <c r="BU36" i="2" s="1"/>
  <c r="BV421" i="2"/>
  <c r="BV30" i="2" s="1"/>
  <c r="BW421" i="2"/>
  <c r="BW30" i="2"/>
  <c r="BX421" i="2"/>
  <c r="BX30" i="2"/>
  <c r="BY421" i="2"/>
  <c r="BY30" i="2" s="1"/>
  <c r="BZ421" i="2"/>
  <c r="BZ30" i="2"/>
  <c r="CA421" i="2"/>
  <c r="CA30" i="2" s="1"/>
  <c r="CB421" i="2"/>
  <c r="CB30" i="2"/>
  <c r="CB36" i="2" s="1"/>
  <c r="CC30" i="2"/>
  <c r="CD30" i="2"/>
  <c r="BJ31" i="2"/>
  <c r="BG31" i="2"/>
  <c r="BG32" i="2"/>
  <c r="BG175" i="2" s="1"/>
  <c r="BK175" i="2" s="1"/>
  <c r="BK168" i="2"/>
  <c r="D31" i="2"/>
  <c r="H37" i="2" s="1"/>
  <c r="E31" i="2"/>
  <c r="F31" i="2"/>
  <c r="J37" i="2" s="1"/>
  <c r="G31" i="2"/>
  <c r="H31" i="2"/>
  <c r="I31" i="2"/>
  <c r="J31" i="2"/>
  <c r="K31" i="2"/>
  <c r="L31" i="2"/>
  <c r="M31" i="2"/>
  <c r="Q37" i="2" s="1"/>
  <c r="N31" i="2"/>
  <c r="O31" i="2"/>
  <c r="P31" i="2"/>
  <c r="Q31" i="2"/>
  <c r="R31" i="2"/>
  <c r="S31" i="2"/>
  <c r="S43" i="2" s="1"/>
  <c r="T31" i="2"/>
  <c r="X37" i="2" s="1"/>
  <c r="U31" i="2"/>
  <c r="V31" i="2"/>
  <c r="Z37" i="2" s="1"/>
  <c r="W31" i="2"/>
  <c r="X31" i="2"/>
  <c r="Y31" i="2"/>
  <c r="Z31" i="2"/>
  <c r="AA31" i="2"/>
  <c r="AB31" i="2"/>
  <c r="AC31" i="2"/>
  <c r="AG37" i="2" s="1"/>
  <c r="AD31" i="2"/>
  <c r="AE31" i="2"/>
  <c r="AF31" i="2"/>
  <c r="AG31" i="2"/>
  <c r="AH31" i="2"/>
  <c r="AI31" i="2"/>
  <c r="AI43" i="2" s="1"/>
  <c r="AJ31" i="2"/>
  <c r="AN37" i="2" s="1"/>
  <c r="AK31" i="2"/>
  <c r="AL31" i="2"/>
  <c r="AP37" i="2" s="1"/>
  <c r="AM31" i="2"/>
  <c r="AN31" i="2"/>
  <c r="AO31" i="2"/>
  <c r="AP31" i="2"/>
  <c r="AQ31" i="2"/>
  <c r="AR31" i="2"/>
  <c r="AS31" i="2"/>
  <c r="AT31" i="2"/>
  <c r="AU31" i="2"/>
  <c r="AV31" i="2"/>
  <c r="AW31" i="2"/>
  <c r="AX31" i="2"/>
  <c r="AY31" i="2"/>
  <c r="AY43" i="2" s="1"/>
  <c r="AZ31" i="2"/>
  <c r="BD37" i="2" s="1"/>
  <c r="BA31" i="2"/>
  <c r="BB31" i="2"/>
  <c r="BF37" i="2" s="1"/>
  <c r="BC31" i="2"/>
  <c r="BD31" i="2"/>
  <c r="BE31" i="2"/>
  <c r="BF31" i="2"/>
  <c r="BH31" i="2"/>
  <c r="BI31" i="2"/>
  <c r="BH32" i="2"/>
  <c r="BL168" i="2"/>
  <c r="BM168" i="2" s="1"/>
  <c r="BN168" i="2" s="1"/>
  <c r="BO168" i="2" s="1"/>
  <c r="BI32" i="2"/>
  <c r="BQ31" i="2"/>
  <c r="BR37" i="2" s="1"/>
  <c r="BR31" i="2"/>
  <c r="BS31" i="2"/>
  <c r="BT31" i="2"/>
  <c r="BU422" i="2"/>
  <c r="BU31" i="2"/>
  <c r="BV422" i="2"/>
  <c r="BV31" i="2" s="1"/>
  <c r="BW422" i="2"/>
  <c r="BW31" i="2"/>
  <c r="BW37" i="2" s="1"/>
  <c r="BX422" i="2"/>
  <c r="BX31" i="2" s="1"/>
  <c r="BY422" i="2"/>
  <c r="BY31" i="2"/>
  <c r="BZ422" i="2"/>
  <c r="BZ31" i="2" s="1"/>
  <c r="CA422" i="2"/>
  <c r="CA31" i="2" s="1"/>
  <c r="CB422" i="2"/>
  <c r="CB31" i="2"/>
  <c r="CC31" i="2"/>
  <c r="CE31" i="2"/>
  <c r="CG31" i="2"/>
  <c r="I32" i="2"/>
  <c r="I44" i="2" s="1"/>
  <c r="K32" i="2"/>
  <c r="Q32" i="2"/>
  <c r="Q52" i="2" s="1"/>
  <c r="Q54" i="2" s="1"/>
  <c r="R32" i="2"/>
  <c r="Y32" i="2"/>
  <c r="Y44" i="2" s="1"/>
  <c r="AA32" i="2"/>
  <c r="AA44" i="2" s="1"/>
  <c r="AG32" i="2"/>
  <c r="AG52" i="2" s="1"/>
  <c r="AG54" i="2" s="1"/>
  <c r="AH32" i="2"/>
  <c r="AO32" i="2"/>
  <c r="AO44" i="2" s="1"/>
  <c r="AQ32" i="2"/>
  <c r="AX32" i="2"/>
  <c r="BE32" i="2"/>
  <c r="BE44" i="2" s="1"/>
  <c r="BQ32" i="2"/>
  <c r="BQ52" i="2" s="1"/>
  <c r="BW32" i="2"/>
  <c r="H35" i="2"/>
  <c r="K35" i="2"/>
  <c r="L35" i="2"/>
  <c r="N35" i="2"/>
  <c r="O35" i="2"/>
  <c r="P35" i="2"/>
  <c r="R35" i="2"/>
  <c r="T35" i="2"/>
  <c r="X35" i="2"/>
  <c r="AA35" i="2"/>
  <c r="AB35" i="2"/>
  <c r="AD35" i="2"/>
  <c r="AE35" i="2"/>
  <c r="AF35" i="2"/>
  <c r="AH35" i="2"/>
  <c r="AI35" i="2"/>
  <c r="AJ35" i="2"/>
  <c r="AK35" i="2"/>
  <c r="AN35" i="2"/>
  <c r="AQ35" i="2"/>
  <c r="AR35" i="2"/>
  <c r="AT35" i="2"/>
  <c r="AU35" i="2"/>
  <c r="AV35" i="2"/>
  <c r="AX35" i="2"/>
  <c r="AZ35" i="2"/>
  <c r="BD35" i="2"/>
  <c r="BG35" i="2"/>
  <c r="BH35" i="2"/>
  <c r="BJ35" i="2"/>
  <c r="BR35" i="2"/>
  <c r="BS35" i="2"/>
  <c r="BT35" i="2"/>
  <c r="BV35" i="2"/>
  <c r="BX35" i="2"/>
  <c r="I36" i="2"/>
  <c r="K36" i="2"/>
  <c r="L36" i="2"/>
  <c r="M36" i="2"/>
  <c r="N36" i="2"/>
  <c r="O36" i="2"/>
  <c r="R36" i="2"/>
  <c r="U36" i="2"/>
  <c r="W36" i="2"/>
  <c r="Y36" i="2"/>
  <c r="AA36" i="2"/>
  <c r="AB36" i="2"/>
  <c r="AC36" i="2"/>
  <c r="AD36" i="2"/>
  <c r="AE36" i="2"/>
  <c r="AH36" i="2"/>
  <c r="AK36" i="2"/>
  <c r="AM36" i="2"/>
  <c r="AO36" i="2"/>
  <c r="AQ36" i="2"/>
  <c r="AR36" i="2"/>
  <c r="AS36" i="2"/>
  <c r="AT36" i="2"/>
  <c r="AU36" i="2"/>
  <c r="AX36" i="2"/>
  <c r="AZ36" i="2"/>
  <c r="BA36" i="2"/>
  <c r="BC36" i="2"/>
  <c r="BE36" i="2"/>
  <c r="BG36" i="2"/>
  <c r="BI36" i="2"/>
  <c r="BJ36" i="2"/>
  <c r="BW36" i="2"/>
  <c r="BX36" i="2"/>
  <c r="L37" i="2"/>
  <c r="N37" i="2"/>
  <c r="O37" i="2"/>
  <c r="P37" i="2"/>
  <c r="R37" i="2"/>
  <c r="S37" i="2"/>
  <c r="T37" i="2"/>
  <c r="V37" i="2"/>
  <c r="AB37" i="2"/>
  <c r="AD37" i="2"/>
  <c r="AE37" i="2"/>
  <c r="AF37" i="2"/>
  <c r="AH37" i="2"/>
  <c r="AI37" i="2"/>
  <c r="AJ37" i="2"/>
  <c r="AK37" i="2"/>
  <c r="AL37" i="2"/>
  <c r="AM37" i="2"/>
  <c r="AR37" i="2"/>
  <c r="AS37" i="2"/>
  <c r="AT37" i="2"/>
  <c r="AU37" i="2"/>
  <c r="AV37" i="2"/>
  <c r="AX37" i="2"/>
  <c r="AY37" i="2"/>
  <c r="AZ37" i="2"/>
  <c r="BA37" i="2"/>
  <c r="BB37" i="2"/>
  <c r="BC37" i="2"/>
  <c r="BH37" i="2"/>
  <c r="BI37" i="2"/>
  <c r="BJ37" i="2"/>
  <c r="BS37" i="2"/>
  <c r="BT37" i="2"/>
  <c r="BU37" i="2"/>
  <c r="CA37" i="2"/>
  <c r="CC37" i="2"/>
  <c r="D41" i="2"/>
  <c r="E41" i="2"/>
  <c r="F41" i="2"/>
  <c r="G41" i="2"/>
  <c r="H41" i="2"/>
  <c r="I41" i="2"/>
  <c r="K41" i="2"/>
  <c r="M41" i="2"/>
  <c r="N41" i="2"/>
  <c r="O41" i="2"/>
  <c r="P41" i="2"/>
  <c r="R41" i="2"/>
  <c r="T41" i="2"/>
  <c r="U41" i="2"/>
  <c r="V41" i="2"/>
  <c r="W41" i="2"/>
  <c r="X41" i="2"/>
  <c r="Y41" i="2"/>
  <c r="AA41" i="2"/>
  <c r="AC41" i="2"/>
  <c r="AD41" i="2"/>
  <c r="AE41" i="2"/>
  <c r="AF41" i="2"/>
  <c r="AH41" i="2"/>
  <c r="AJ41" i="2"/>
  <c r="AK41" i="2"/>
  <c r="AL41" i="2"/>
  <c r="AM41" i="2"/>
  <c r="AN41" i="2"/>
  <c r="AO41" i="2"/>
  <c r="AQ41" i="2"/>
  <c r="AS41" i="2"/>
  <c r="AT41" i="2"/>
  <c r="AU41" i="2"/>
  <c r="AV41" i="2"/>
  <c r="AX41" i="2"/>
  <c r="AZ41" i="2"/>
  <c r="BA41" i="2"/>
  <c r="BB41" i="2"/>
  <c r="BC41" i="2"/>
  <c r="BD41" i="2"/>
  <c r="BE41" i="2"/>
  <c r="BG41" i="2"/>
  <c r="BI41" i="2"/>
  <c r="BJ41" i="2"/>
  <c r="BQ41" i="2"/>
  <c r="BR41" i="2"/>
  <c r="BS41" i="2"/>
  <c r="BT41" i="2"/>
  <c r="CF41" i="2"/>
  <c r="D42" i="2"/>
  <c r="E42" i="2"/>
  <c r="F42" i="2"/>
  <c r="G42" i="2"/>
  <c r="I42" i="2"/>
  <c r="J42" i="2"/>
  <c r="K42" i="2"/>
  <c r="L42" i="2"/>
  <c r="M42" i="2"/>
  <c r="N42" i="2"/>
  <c r="O42" i="2"/>
  <c r="R42" i="2"/>
  <c r="S42" i="2"/>
  <c r="T42" i="2"/>
  <c r="U42" i="2"/>
  <c r="V42" i="2"/>
  <c r="W42" i="2"/>
  <c r="Y42" i="2"/>
  <c r="Z42" i="2"/>
  <c r="AA42" i="2"/>
  <c r="AB42" i="2"/>
  <c r="AC42" i="2"/>
  <c r="AD42" i="2"/>
  <c r="AE42" i="2"/>
  <c r="AH42" i="2"/>
  <c r="AI42" i="2"/>
  <c r="AJ42" i="2"/>
  <c r="AK42" i="2"/>
  <c r="AL42" i="2"/>
  <c r="AM42" i="2"/>
  <c r="AO42" i="2"/>
  <c r="AP42" i="2"/>
  <c r="AQ42" i="2"/>
  <c r="AR42" i="2"/>
  <c r="AS42" i="2"/>
  <c r="AT42" i="2"/>
  <c r="AU42" i="2"/>
  <c r="AX42" i="2"/>
  <c r="AY42" i="2"/>
  <c r="AZ42" i="2"/>
  <c r="BA42" i="2"/>
  <c r="BB42" i="2"/>
  <c r="BC42" i="2"/>
  <c r="BE42" i="2"/>
  <c r="BF42" i="2"/>
  <c r="BG42" i="2"/>
  <c r="BH42" i="2"/>
  <c r="BI42" i="2"/>
  <c r="BJ42" i="2"/>
  <c r="BR42" i="2"/>
  <c r="BW42" i="2"/>
  <c r="BZ42" i="2"/>
  <c r="CC42" i="2"/>
  <c r="CD42" i="2"/>
  <c r="F43" i="2"/>
  <c r="G43" i="2"/>
  <c r="H43" i="2"/>
  <c r="I43" i="2"/>
  <c r="J43" i="2"/>
  <c r="K43" i="2"/>
  <c r="L43" i="2"/>
  <c r="M43" i="2"/>
  <c r="N43" i="2"/>
  <c r="O43" i="2"/>
  <c r="P43" i="2"/>
  <c r="Q43" i="2"/>
  <c r="R43" i="2"/>
  <c r="V43" i="2"/>
  <c r="W43" i="2"/>
  <c r="X43" i="2"/>
  <c r="Y43" i="2"/>
  <c r="Z43" i="2"/>
  <c r="AA43" i="2"/>
  <c r="AB43" i="2"/>
  <c r="AD43" i="2"/>
  <c r="AE43" i="2"/>
  <c r="AF43" i="2"/>
  <c r="AG43" i="2"/>
  <c r="AH43" i="2"/>
  <c r="AL43" i="2"/>
  <c r="AM43" i="2"/>
  <c r="AN43" i="2"/>
  <c r="AO43" i="2"/>
  <c r="AP43" i="2"/>
  <c r="AQ43" i="2"/>
  <c r="AR43" i="2"/>
  <c r="AS43" i="2"/>
  <c r="AT43" i="2"/>
  <c r="AU43" i="2"/>
  <c r="AV43" i="2"/>
  <c r="AW43" i="2"/>
  <c r="AX43" i="2"/>
  <c r="BB43" i="2"/>
  <c r="BC43" i="2"/>
  <c r="BD43" i="2"/>
  <c r="BE43" i="2"/>
  <c r="BF43" i="2"/>
  <c r="BG43" i="2"/>
  <c r="BH43" i="2"/>
  <c r="BI43" i="2"/>
  <c r="BJ43" i="2"/>
  <c r="BR43" i="2"/>
  <c r="BS43" i="2"/>
  <c r="BT43" i="2"/>
  <c r="BY43" i="2"/>
  <c r="CC43" i="2"/>
  <c r="CE43" i="2"/>
  <c r="CG43" i="2"/>
  <c r="K44" i="2"/>
  <c r="N44" i="2"/>
  <c r="Q44" i="2"/>
  <c r="R44" i="2"/>
  <c r="AD44" i="2"/>
  <c r="AG44" i="2"/>
  <c r="AH44" i="2"/>
  <c r="AQ44" i="2"/>
  <c r="AR44" i="2"/>
  <c r="AT44" i="2"/>
  <c r="AX44" i="2"/>
  <c r="BG44" i="2"/>
  <c r="BH44" i="2"/>
  <c r="BJ44" i="2"/>
  <c r="BS44" i="2"/>
  <c r="BT44" i="2"/>
  <c r="BW44" i="2"/>
  <c r="K52" i="2"/>
  <c r="K47" i="2" s="1"/>
  <c r="N52" i="2"/>
  <c r="N54" i="2" s="1"/>
  <c r="N47" i="2"/>
  <c r="Q47" i="2"/>
  <c r="Q50" i="2" s="1"/>
  <c r="R52" i="2"/>
  <c r="AS47" i="2"/>
  <c r="AX52" i="2"/>
  <c r="BG52" i="2"/>
  <c r="BG47" i="2" s="1"/>
  <c r="BI52" i="2"/>
  <c r="BI47" i="2"/>
  <c r="BT52" i="2"/>
  <c r="BT70" i="2" s="1"/>
  <c r="BW52" i="2"/>
  <c r="BW54" i="2" s="1"/>
  <c r="BW47" i="2"/>
  <c r="BW50" i="2" s="1"/>
  <c r="AS50" i="2"/>
  <c r="BI50" i="2"/>
  <c r="BI54" i="2"/>
  <c r="CK54" i="2"/>
  <c r="BI58" i="2"/>
  <c r="BD450" i="2"/>
  <c r="BD80" i="2" s="1"/>
  <c r="BE450" i="2"/>
  <c r="BE80" i="2"/>
  <c r="BF450" i="2"/>
  <c r="BF80" i="2"/>
  <c r="BG450" i="2"/>
  <c r="BG80" i="2" s="1"/>
  <c r="BI60" i="2"/>
  <c r="BK60" i="2"/>
  <c r="BL60" i="2"/>
  <c r="BM60" i="2"/>
  <c r="BN60" i="2"/>
  <c r="BO60" i="2"/>
  <c r="CH60" i="2"/>
  <c r="CI60" i="2"/>
  <c r="BB63" i="2"/>
  <c r="BC65" i="2" s="1"/>
  <c r="CF63" i="2"/>
  <c r="CG63" i="2"/>
  <c r="CH63" i="2"/>
  <c r="CI63" i="2"/>
  <c r="BC64" i="2"/>
  <c r="CF64" i="2" s="1"/>
  <c r="CG64" i="2"/>
  <c r="CH64" i="2"/>
  <c r="CI64" i="2"/>
  <c r="BA65" i="2"/>
  <c r="BB65" i="2"/>
  <c r="CF65" i="2" s="1"/>
  <c r="BD65" i="2"/>
  <c r="CG65" i="2" s="1"/>
  <c r="BE65" i="2"/>
  <c r="BF65" i="2"/>
  <c r="BG65" i="2"/>
  <c r="BH65" i="2"/>
  <c r="CH65" i="2" s="1"/>
  <c r="BI65" i="2"/>
  <c r="BJ65" i="2"/>
  <c r="BK65" i="2"/>
  <c r="BL65" i="2"/>
  <c r="BM65" i="2"/>
  <c r="BN65" i="2"/>
  <c r="BO65" i="2"/>
  <c r="BB66" i="2"/>
  <c r="BK66" i="2"/>
  <c r="H69" i="2"/>
  <c r="I69" i="2"/>
  <c r="J69" i="2"/>
  <c r="K69" i="2"/>
  <c r="L69" i="2"/>
  <c r="M69" i="2"/>
  <c r="N69" i="2"/>
  <c r="N70" i="2" s="1"/>
  <c r="O69" i="2"/>
  <c r="P69" i="2"/>
  <c r="Q69" i="2"/>
  <c r="Q70" i="2" s="1"/>
  <c r="R69" i="2"/>
  <c r="S69" i="2"/>
  <c r="T69" i="2"/>
  <c r="U69" i="2"/>
  <c r="V69" i="2"/>
  <c r="W69" i="2"/>
  <c r="BX69" i="2" s="1"/>
  <c r="X69" i="2"/>
  <c r="Y69" i="2"/>
  <c r="BY69" i="2" s="1"/>
  <c r="Z69" i="2"/>
  <c r="AA69" i="2"/>
  <c r="AB69" i="2"/>
  <c r="BZ69" i="2" s="1"/>
  <c r="AC69" i="2"/>
  <c r="AD69" i="2"/>
  <c r="AE69" i="2"/>
  <c r="AF69" i="2"/>
  <c r="AG69" i="2"/>
  <c r="AG70" i="2" s="1"/>
  <c r="AH69" i="2"/>
  <c r="AI69" i="2"/>
  <c r="AJ69" i="2"/>
  <c r="AK69" i="2"/>
  <c r="AL69" i="2"/>
  <c r="AM69" i="2"/>
  <c r="CB69" i="2" s="1"/>
  <c r="AN69" i="2"/>
  <c r="AO69" i="2"/>
  <c r="CC69" i="2" s="1"/>
  <c r="AP69" i="2"/>
  <c r="AQ69" i="2"/>
  <c r="AR69" i="2"/>
  <c r="AS69" i="2"/>
  <c r="AT69" i="2"/>
  <c r="AU69" i="2"/>
  <c r="AV69" i="2"/>
  <c r="AW69" i="2"/>
  <c r="CE69" i="2" s="1"/>
  <c r="AX69" i="2"/>
  <c r="AY69" i="2"/>
  <c r="AZ69" i="2"/>
  <c r="BA69" i="2"/>
  <c r="BB69" i="2"/>
  <c r="BC69" i="2"/>
  <c r="CF69" i="2" s="1"/>
  <c r="BD69" i="2"/>
  <c r="BE69" i="2"/>
  <c r="BF69" i="2"/>
  <c r="BG69" i="2"/>
  <c r="BH69" i="2"/>
  <c r="BI69" i="2"/>
  <c r="Q46" i="753" s="1"/>
  <c r="BJ69" i="2"/>
  <c r="R46" i="753" s="1"/>
  <c r="BS69" i="2"/>
  <c r="BT69" i="2"/>
  <c r="BV69" i="2"/>
  <c r="CD69" i="2"/>
  <c r="AX70" i="2"/>
  <c r="AX72" i="2" s="1"/>
  <c r="N76" i="2"/>
  <c r="AX76" i="2"/>
  <c r="AX78" i="2" s="1"/>
  <c r="H450" i="2"/>
  <c r="H80" i="2"/>
  <c r="I450" i="2"/>
  <c r="I80" i="2"/>
  <c r="J450" i="2"/>
  <c r="J80" i="2"/>
  <c r="K450" i="2"/>
  <c r="K80" i="2"/>
  <c r="K81" i="2" s="1"/>
  <c r="K83" i="2" s="1"/>
  <c r="K85" i="2" s="1"/>
  <c r="L450" i="2"/>
  <c r="L80" i="2"/>
  <c r="L97" i="2" s="1"/>
  <c r="M450" i="2"/>
  <c r="M80" i="2"/>
  <c r="N450" i="2"/>
  <c r="N80" i="2"/>
  <c r="O450" i="2"/>
  <c r="O80" i="2"/>
  <c r="P450" i="2"/>
  <c r="P80" i="2"/>
  <c r="Q450" i="2"/>
  <c r="Q80" i="2"/>
  <c r="R450" i="2"/>
  <c r="R80" i="2"/>
  <c r="S450" i="2"/>
  <c r="S80" i="2"/>
  <c r="T450" i="2"/>
  <c r="T80" i="2"/>
  <c r="U450" i="2"/>
  <c r="U80" i="2"/>
  <c r="V450" i="2"/>
  <c r="V80" i="2"/>
  <c r="W450" i="2"/>
  <c r="W80" i="2"/>
  <c r="X450" i="2"/>
  <c r="X80" i="2"/>
  <c r="Y450" i="2"/>
  <c r="Y80" i="2"/>
  <c r="Z450" i="2"/>
  <c r="Z80" i="2"/>
  <c r="AA450" i="2"/>
  <c r="AA80" i="2"/>
  <c r="AA97" i="2" s="1"/>
  <c r="AB450" i="2"/>
  <c r="AB80" i="2"/>
  <c r="AB97" i="2" s="1"/>
  <c r="AC450" i="2"/>
  <c r="AC80" i="2"/>
  <c r="AD450" i="2"/>
  <c r="AD80" i="2"/>
  <c r="AE450" i="2"/>
  <c r="AE80" i="2"/>
  <c r="AF450" i="2"/>
  <c r="AF80" i="2"/>
  <c r="AG450" i="2"/>
  <c r="AG80" i="2"/>
  <c r="AH450" i="2"/>
  <c r="AH80" i="2"/>
  <c r="AI450" i="2"/>
  <c r="AI80" i="2"/>
  <c r="AJ450" i="2"/>
  <c r="AJ80" i="2"/>
  <c r="CB80" i="2" s="1"/>
  <c r="AK450" i="2"/>
  <c r="AK80" i="2"/>
  <c r="AL450" i="2"/>
  <c r="AL80" i="2"/>
  <c r="AM450" i="2"/>
  <c r="AM80" i="2"/>
  <c r="AN450" i="2"/>
  <c r="AN80" i="2"/>
  <c r="AO450" i="2"/>
  <c r="AO80" i="2"/>
  <c r="AP450" i="2"/>
  <c r="AP80" i="2"/>
  <c r="AQ450" i="2"/>
  <c r="AQ80" i="2"/>
  <c r="AQ97" i="2" s="1"/>
  <c r="AR450" i="2"/>
  <c r="AR80" i="2"/>
  <c r="CD80" i="2" s="1"/>
  <c r="AS450" i="2"/>
  <c r="AS80" i="2"/>
  <c r="AT450" i="2"/>
  <c r="AT80" i="2"/>
  <c r="AU450" i="2"/>
  <c r="AU80" i="2"/>
  <c r="AV450" i="2"/>
  <c r="AV80" i="2"/>
  <c r="AW450" i="2"/>
  <c r="AW80" i="2" s="1"/>
  <c r="AX450" i="2"/>
  <c r="AX80" i="2"/>
  <c r="AY450" i="2"/>
  <c r="AY80" i="2"/>
  <c r="AZ450" i="2"/>
  <c r="AZ80" i="2"/>
  <c r="CF80" i="2" s="1"/>
  <c r="BA450" i="2"/>
  <c r="BA80" i="2" s="1"/>
  <c r="BB450" i="2"/>
  <c r="BB80" i="2"/>
  <c r="BC450" i="2"/>
  <c r="BC80" i="2"/>
  <c r="BH450" i="2"/>
  <c r="BH80" i="2"/>
  <c r="CH80" i="2" s="1"/>
  <c r="BI450" i="2"/>
  <c r="BI80" i="2" s="1"/>
  <c r="BI81" i="2" s="1"/>
  <c r="BJ450" i="2"/>
  <c r="BJ80" i="2"/>
  <c r="BQ80" i="2"/>
  <c r="BR80" i="2"/>
  <c r="BS80" i="2"/>
  <c r="BT80" i="2"/>
  <c r="BT81" i="2" s="1"/>
  <c r="BU446" i="2"/>
  <c r="BU447" i="2"/>
  <c r="BU450" i="2"/>
  <c r="BU80" i="2"/>
  <c r="BV446" i="2"/>
  <c r="BV447" i="2"/>
  <c r="BW448" i="2"/>
  <c r="BW449" i="2"/>
  <c r="BW450" i="2"/>
  <c r="BW80" i="2" s="1"/>
  <c r="BW81" i="2" s="1"/>
  <c r="BX448" i="2"/>
  <c r="BX449" i="2"/>
  <c r="BX450" i="2" s="1"/>
  <c r="BX80" i="2" s="1"/>
  <c r="BX97" i="2" s="1"/>
  <c r="BY448" i="2"/>
  <c r="BY449" i="2"/>
  <c r="BY450" i="2"/>
  <c r="BY80" i="2"/>
  <c r="BZ448" i="2"/>
  <c r="BZ450" i="2" s="1"/>
  <c r="BZ449" i="2"/>
  <c r="BZ80" i="2"/>
  <c r="BZ97" i="2" s="1"/>
  <c r="CI80" i="2"/>
  <c r="N81" i="2"/>
  <c r="Q81" i="2"/>
  <c r="AG81" i="2"/>
  <c r="AQ81" i="2"/>
  <c r="AX81" i="2"/>
  <c r="BQ81" i="2"/>
  <c r="BQ82" i="2" s="1"/>
  <c r="K82" i="2"/>
  <c r="Q82" i="2"/>
  <c r="Q98" i="2" s="1"/>
  <c r="AG82" i="2"/>
  <c r="AX82" i="2"/>
  <c r="AG83" i="2"/>
  <c r="AG85" i="2" s="1"/>
  <c r="AX83" i="2"/>
  <c r="AX85" i="2" s="1"/>
  <c r="H512" i="2"/>
  <c r="BU512" i="2" s="1"/>
  <c r="BU84" i="2" s="1"/>
  <c r="H84" i="2"/>
  <c r="I84" i="2"/>
  <c r="J84" i="2"/>
  <c r="K84" i="2"/>
  <c r="L84" i="2"/>
  <c r="M84" i="2"/>
  <c r="N84" i="2"/>
  <c r="O84" i="2"/>
  <c r="P84" i="2"/>
  <c r="Q84" i="2"/>
  <c r="R84" i="2"/>
  <c r="S84" i="2"/>
  <c r="T84" i="2"/>
  <c r="U84" i="2"/>
  <c r="V84" i="2"/>
  <c r="W84" i="2"/>
  <c r="X84" i="2"/>
  <c r="Y84" i="2"/>
  <c r="Z84" i="2"/>
  <c r="AA84" i="2"/>
  <c r="AB84" i="2"/>
  <c r="AC84" i="2"/>
  <c r="AD84" i="2"/>
  <c r="AE84" i="2"/>
  <c r="AF84" i="2"/>
  <c r="AG84" i="2"/>
  <c r="AH84" i="2"/>
  <c r="AI84" i="2"/>
  <c r="AJ512" i="2"/>
  <c r="AJ84" i="2"/>
  <c r="AK512" i="2"/>
  <c r="AK84" i="2"/>
  <c r="AL512" i="2"/>
  <c r="AL84" i="2"/>
  <c r="AM512" i="2"/>
  <c r="AM84" i="2" s="1"/>
  <c r="AN512" i="2"/>
  <c r="AN84" i="2"/>
  <c r="AO512" i="2"/>
  <c r="AO84" i="2"/>
  <c r="AP512" i="2"/>
  <c r="AP84" i="2" s="1"/>
  <c r="AQ512" i="2"/>
  <c r="AQ84" i="2" s="1"/>
  <c r="AR512" i="2"/>
  <c r="AR84" i="2"/>
  <c r="AS512" i="2"/>
  <c r="AS84" i="2" s="1"/>
  <c r="AT512" i="2"/>
  <c r="AT84" i="2"/>
  <c r="AU512" i="2"/>
  <c r="AU84" i="2" s="1"/>
  <c r="AV512" i="2"/>
  <c r="AV84" i="2"/>
  <c r="AW512" i="2"/>
  <c r="AW84" i="2" s="1"/>
  <c r="AX512" i="2"/>
  <c r="AX84" i="2" s="1"/>
  <c r="AY512" i="2"/>
  <c r="AY84" i="2" s="1"/>
  <c r="AZ512" i="2"/>
  <c r="AZ84" i="2"/>
  <c r="BA512" i="2"/>
  <c r="BA84" i="2"/>
  <c r="BB512" i="2"/>
  <c r="BB84" i="2"/>
  <c r="BC512" i="2"/>
  <c r="BC84" i="2" s="1"/>
  <c r="BD512" i="2"/>
  <c r="BD84" i="2"/>
  <c r="BE512" i="2"/>
  <c r="BE84" i="2"/>
  <c r="BF512" i="2"/>
  <c r="BF84" i="2" s="1"/>
  <c r="BG512" i="2"/>
  <c r="BG84" i="2" s="1"/>
  <c r="BH512" i="2"/>
  <c r="BH84" i="2"/>
  <c r="BI512" i="2"/>
  <c r="BI84" i="2"/>
  <c r="CH84" i="2" s="1"/>
  <c r="BJ512" i="2"/>
  <c r="BJ84" i="2"/>
  <c r="BK84" i="2"/>
  <c r="BL84" i="2" s="1"/>
  <c r="BM84" i="2" s="1"/>
  <c r="BN84" i="2" s="1"/>
  <c r="BO84" i="2" s="1"/>
  <c r="BV512" i="2"/>
  <c r="BV84" i="2"/>
  <c r="BW512" i="2"/>
  <c r="BW84" i="2" s="1"/>
  <c r="BX512" i="2"/>
  <c r="BX84" i="2"/>
  <c r="BY512" i="2"/>
  <c r="BY84" i="2" s="1"/>
  <c r="BZ512" i="2"/>
  <c r="BZ84" i="2"/>
  <c r="CA512" i="2"/>
  <c r="CA84" i="2" s="1"/>
  <c r="CC512" i="2"/>
  <c r="CC84" i="2"/>
  <c r="CD512" i="2"/>
  <c r="CD84" i="2"/>
  <c r="CE512" i="2"/>
  <c r="CE84" i="2" s="1"/>
  <c r="CF512" i="2"/>
  <c r="CF84" i="2"/>
  <c r="CG512" i="2"/>
  <c r="CG84" i="2" s="1"/>
  <c r="CI84" i="2"/>
  <c r="N89" i="2"/>
  <c r="N91" i="2" s="1"/>
  <c r="Q89" i="2"/>
  <c r="Q91" i="2" s="1"/>
  <c r="AX89" i="2"/>
  <c r="AX91" i="2" s="1"/>
  <c r="BT89" i="2"/>
  <c r="BT91" i="2" s="1"/>
  <c r="H90" i="2"/>
  <c r="H95" i="2" s="1"/>
  <c r="I90" i="2"/>
  <c r="J90" i="2"/>
  <c r="K90" i="2"/>
  <c r="L90" i="2"/>
  <c r="M90" i="2"/>
  <c r="N90" i="2"/>
  <c r="O90" i="2"/>
  <c r="P90" i="2"/>
  <c r="Q90" i="2"/>
  <c r="R90" i="2"/>
  <c r="S90" i="2"/>
  <c r="T90" i="2"/>
  <c r="BX90" i="2" s="1"/>
  <c r="U90" i="2"/>
  <c r="U95" i="2" s="1"/>
  <c r="V90" i="2"/>
  <c r="W90" i="2"/>
  <c r="W106" i="2" s="1"/>
  <c r="X90" i="2"/>
  <c r="Y90" i="2"/>
  <c r="Z90" i="2"/>
  <c r="AA90" i="2"/>
  <c r="AB90" i="2"/>
  <c r="AC90" i="2"/>
  <c r="BZ90" i="2" s="1"/>
  <c r="AD90" i="2"/>
  <c r="AE90" i="2"/>
  <c r="AF90" i="2"/>
  <c r="AG90" i="2"/>
  <c r="AH90" i="2"/>
  <c r="AI90" i="2"/>
  <c r="AJ90" i="2"/>
  <c r="AJ95" i="2" s="1"/>
  <c r="AK90" i="2"/>
  <c r="AK95" i="2" s="1"/>
  <c r="AL90" i="2"/>
  <c r="AM90" i="2"/>
  <c r="AM106" i="2" s="1"/>
  <c r="AN90" i="2"/>
  <c r="AN95" i="2" s="1"/>
  <c r="AO90" i="2"/>
  <c r="AP90" i="2"/>
  <c r="AQ90" i="2"/>
  <c r="AR90" i="2"/>
  <c r="AS90" i="2"/>
  <c r="AT90" i="2"/>
  <c r="AU90" i="2"/>
  <c r="AV90" i="2"/>
  <c r="C10" i="832" s="1"/>
  <c r="AW90" i="2"/>
  <c r="D10" i="832" s="1"/>
  <c r="AX90" i="2"/>
  <c r="E10" i="832" s="1"/>
  <c r="AY90" i="2"/>
  <c r="F10" i="832" s="1"/>
  <c r="AZ541" i="2"/>
  <c r="AZ90" i="2"/>
  <c r="G10" i="832" s="1"/>
  <c r="BA541" i="2"/>
  <c r="BA90" i="2"/>
  <c r="H10" i="832" s="1"/>
  <c r="BB541" i="2"/>
  <c r="BB90" i="2"/>
  <c r="BC541" i="2"/>
  <c r="BC90" i="2"/>
  <c r="J10" i="832" s="1"/>
  <c r="BD541" i="2"/>
  <c r="BD90" i="2"/>
  <c r="K10" i="832" s="1"/>
  <c r="BE541" i="2"/>
  <c r="BE90" i="2" s="1"/>
  <c r="L10" i="832" s="1"/>
  <c r="BF541" i="2"/>
  <c r="BF90" i="2" s="1"/>
  <c r="BG541" i="2"/>
  <c r="BG90" i="2" s="1"/>
  <c r="N10" i="832" s="1"/>
  <c r="BH90" i="2"/>
  <c r="O10" i="832" s="1"/>
  <c r="BI90" i="2"/>
  <c r="Q36" i="753" s="1"/>
  <c r="BJ90" i="2"/>
  <c r="R36" i="753" s="1"/>
  <c r="BS90" i="2"/>
  <c r="BT90" i="2"/>
  <c r="BV90" i="2"/>
  <c r="BV95" i="2" s="1"/>
  <c r="BW90" i="2"/>
  <c r="CA90" i="2"/>
  <c r="CD90" i="2"/>
  <c r="CE90" i="2"/>
  <c r="Q10" i="832" s="1"/>
  <c r="J95" i="2"/>
  <c r="K95" i="2"/>
  <c r="L95" i="2"/>
  <c r="M95" i="2"/>
  <c r="N95" i="2"/>
  <c r="O95" i="2"/>
  <c r="P95" i="2"/>
  <c r="Q95" i="2"/>
  <c r="R95" i="2"/>
  <c r="S95" i="2"/>
  <c r="V95" i="2"/>
  <c r="Z95" i="2"/>
  <c r="AA95" i="2"/>
  <c r="AB95" i="2"/>
  <c r="AC95" i="2"/>
  <c r="AD95" i="2"/>
  <c r="AE95" i="2"/>
  <c r="AF95" i="2"/>
  <c r="AG95" i="2"/>
  <c r="AH95" i="2"/>
  <c r="AI95" i="2"/>
  <c r="AL95" i="2"/>
  <c r="AP95" i="2"/>
  <c r="AQ95" i="2"/>
  <c r="AR95" i="2"/>
  <c r="AS95" i="2"/>
  <c r="AT95" i="2"/>
  <c r="AU95" i="2"/>
  <c r="AV95" i="2"/>
  <c r="AW95" i="2"/>
  <c r="AX95" i="2"/>
  <c r="AY95" i="2"/>
  <c r="BC95" i="2"/>
  <c r="BD95" i="2"/>
  <c r="BE95" i="2"/>
  <c r="BG95" i="2"/>
  <c r="BH95" i="2"/>
  <c r="BI95" i="2"/>
  <c r="BJ95" i="2"/>
  <c r="BS95" i="2"/>
  <c r="BT95" i="2"/>
  <c r="CA95" i="2"/>
  <c r="CD95" i="2"/>
  <c r="CE95" i="2"/>
  <c r="H97" i="2"/>
  <c r="I97" i="2"/>
  <c r="J97" i="2"/>
  <c r="M97" i="2"/>
  <c r="N97" i="2"/>
  <c r="O97" i="2"/>
  <c r="P97" i="2"/>
  <c r="Q97" i="2"/>
  <c r="R97" i="2"/>
  <c r="S97" i="2"/>
  <c r="T97" i="2"/>
  <c r="U97" i="2"/>
  <c r="V97" i="2"/>
  <c r="W97" i="2"/>
  <c r="X97" i="2"/>
  <c r="Y97" i="2"/>
  <c r="Z97" i="2"/>
  <c r="AC97" i="2"/>
  <c r="AD97" i="2"/>
  <c r="AE97" i="2"/>
  <c r="AF97" i="2"/>
  <c r="AG97" i="2"/>
  <c r="AH97" i="2"/>
  <c r="AI97" i="2"/>
  <c r="AJ97" i="2"/>
  <c r="CB97" i="2" s="1"/>
  <c r="AK97" i="2"/>
  <c r="AL97" i="2"/>
  <c r="AM97" i="2"/>
  <c r="AN97" i="2"/>
  <c r="AO97" i="2"/>
  <c r="AP97" i="2"/>
  <c r="AS97" i="2"/>
  <c r="AT97" i="2"/>
  <c r="AU97" i="2"/>
  <c r="AV97" i="2"/>
  <c r="AW97" i="2"/>
  <c r="AX97" i="2"/>
  <c r="AY97" i="2"/>
  <c r="BA97" i="2"/>
  <c r="BB97" i="2"/>
  <c r="BC97" i="2"/>
  <c r="BD97" i="2"/>
  <c r="CG97" i="2" s="1"/>
  <c r="BE97" i="2"/>
  <c r="BF97" i="2"/>
  <c r="BG97" i="2"/>
  <c r="BH97" i="2"/>
  <c r="BJ97" i="2"/>
  <c r="BK97" i="2"/>
  <c r="BL97" i="2"/>
  <c r="CI97" i="2" s="1"/>
  <c r="BM97" i="2"/>
  <c r="BN97" i="2"/>
  <c r="BO97" i="2"/>
  <c r="BS97" i="2"/>
  <c r="BT97" i="2"/>
  <c r="BU97" i="2"/>
  <c r="BW97" i="2"/>
  <c r="BY97" i="2"/>
  <c r="CE97" i="2"/>
  <c r="K98" i="2"/>
  <c r="K104" i="2" s="1"/>
  <c r="AG98" i="2"/>
  <c r="AX98" i="2"/>
  <c r="H476" i="2"/>
  <c r="H103" i="2"/>
  <c r="I476" i="2"/>
  <c r="I103" i="2"/>
  <c r="J476" i="2"/>
  <c r="J103" i="2" s="1"/>
  <c r="K476" i="2"/>
  <c r="K103" i="2" s="1"/>
  <c r="L476" i="2"/>
  <c r="L103" i="2" s="1"/>
  <c r="M476" i="2"/>
  <c r="M103" i="2"/>
  <c r="N476" i="2"/>
  <c r="N103" i="2" s="1"/>
  <c r="O476" i="2"/>
  <c r="O103" i="2"/>
  <c r="P476" i="2"/>
  <c r="P103" i="2"/>
  <c r="Q476" i="2"/>
  <c r="Q103" i="2"/>
  <c r="R476" i="2"/>
  <c r="R103" i="2" s="1"/>
  <c r="S476" i="2"/>
  <c r="S103" i="2" s="1"/>
  <c r="T476" i="2"/>
  <c r="T103" i="2" s="1"/>
  <c r="U476" i="2"/>
  <c r="U103" i="2"/>
  <c r="V476" i="2"/>
  <c r="V103" i="2" s="1"/>
  <c r="W476" i="2"/>
  <c r="W103" i="2"/>
  <c r="X476" i="2"/>
  <c r="X103" i="2"/>
  <c r="Y476" i="2"/>
  <c r="Y103" i="2"/>
  <c r="Z476" i="2"/>
  <c r="Z103" i="2" s="1"/>
  <c r="AA476" i="2"/>
  <c r="AA103" i="2" s="1"/>
  <c r="AB476" i="2"/>
  <c r="AB103" i="2" s="1"/>
  <c r="AC476" i="2"/>
  <c r="AC103" i="2"/>
  <c r="AD476" i="2"/>
  <c r="AD103" i="2" s="1"/>
  <c r="AE476" i="2"/>
  <c r="AE103" i="2"/>
  <c r="AF476" i="2"/>
  <c r="AF103" i="2"/>
  <c r="AG476" i="2"/>
  <c r="AG103" i="2"/>
  <c r="AH476" i="2"/>
  <c r="AH103" i="2" s="1"/>
  <c r="AI476" i="2"/>
  <c r="AI103" i="2" s="1"/>
  <c r="AJ476" i="2"/>
  <c r="AJ103" i="2" s="1"/>
  <c r="CB103" i="2" s="1"/>
  <c r="AK476" i="2"/>
  <c r="AK103" i="2"/>
  <c r="AL476" i="2"/>
  <c r="AL103" i="2" s="1"/>
  <c r="AM476" i="2"/>
  <c r="AM103" i="2"/>
  <c r="AN476" i="2"/>
  <c r="AN103" i="2"/>
  <c r="CC103" i="2" s="1"/>
  <c r="AO476" i="2"/>
  <c r="AO103" i="2"/>
  <c r="AP476" i="2"/>
  <c r="AP103" i="2" s="1"/>
  <c r="AQ476" i="2"/>
  <c r="AQ103" i="2" s="1"/>
  <c r="AR476" i="2"/>
  <c r="AR103" i="2" s="1"/>
  <c r="AS476" i="2"/>
  <c r="AS103" i="2"/>
  <c r="AT476" i="2"/>
  <c r="AT103" i="2" s="1"/>
  <c r="AU476" i="2"/>
  <c r="AU103" i="2"/>
  <c r="AV476" i="2"/>
  <c r="AV103" i="2"/>
  <c r="AW476" i="2"/>
  <c r="AW103" i="2"/>
  <c r="AX476" i="2"/>
  <c r="AX103" i="2" s="1"/>
  <c r="AY476" i="2"/>
  <c r="AY103" i="2" s="1"/>
  <c r="AZ476" i="2"/>
  <c r="AZ103" i="2" s="1"/>
  <c r="BA476" i="2"/>
  <c r="BA103" i="2"/>
  <c r="BB476" i="2"/>
  <c r="BB103" i="2" s="1"/>
  <c r="BC476" i="2"/>
  <c r="BC103" i="2" s="1"/>
  <c r="BD476" i="2"/>
  <c r="BD103" i="2"/>
  <c r="BE476" i="2"/>
  <c r="BE103" i="2"/>
  <c r="BF476" i="2"/>
  <c r="BF103" i="2" s="1"/>
  <c r="BG476" i="2"/>
  <c r="BG103" i="2" s="1"/>
  <c r="BH476" i="2"/>
  <c r="BH103" i="2" s="1"/>
  <c r="BI476" i="2"/>
  <c r="BI103" i="2"/>
  <c r="BJ476" i="2"/>
  <c r="BJ103" i="2" s="1"/>
  <c r="BS476" i="2"/>
  <c r="BS103" i="2" s="1"/>
  <c r="BT476" i="2"/>
  <c r="BT103" i="2"/>
  <c r="BU472" i="2"/>
  <c r="BU473" i="2"/>
  <c r="BU474" i="2"/>
  <c r="BU475" i="2"/>
  <c r="BU476" i="2"/>
  <c r="BU103" i="2" s="1"/>
  <c r="BV472" i="2"/>
  <c r="BV473" i="2"/>
  <c r="BV474" i="2"/>
  <c r="BV475" i="2"/>
  <c r="BV476" i="2"/>
  <c r="BV103" i="2" s="1"/>
  <c r="BW472" i="2"/>
  <c r="BW473" i="2"/>
  <c r="BW474" i="2"/>
  <c r="BW475" i="2"/>
  <c r="BW476" i="2"/>
  <c r="BW103" i="2"/>
  <c r="BX472" i="2"/>
  <c r="BX473" i="2"/>
  <c r="BX474" i="2"/>
  <c r="BX475" i="2"/>
  <c r="BY472" i="2"/>
  <c r="BY473" i="2"/>
  <c r="BY474" i="2"/>
  <c r="BY476" i="2" s="1"/>
  <c r="BY103" i="2" s="1"/>
  <c r="BY475" i="2"/>
  <c r="BZ472" i="2"/>
  <c r="BZ473" i="2"/>
  <c r="BZ474" i="2"/>
  <c r="BZ475" i="2"/>
  <c r="BZ476" i="2"/>
  <c r="BZ103" i="2" s="1"/>
  <c r="CA472" i="2"/>
  <c r="CA476" i="2" s="1"/>
  <c r="CA103" i="2" s="1"/>
  <c r="CA473" i="2"/>
  <c r="CA474" i="2"/>
  <c r="CA475" i="2"/>
  <c r="CI103" i="2"/>
  <c r="H572" i="2"/>
  <c r="I572" i="2"/>
  <c r="J572" i="2"/>
  <c r="K572" i="2"/>
  <c r="L572" i="2"/>
  <c r="M572" i="2"/>
  <c r="N572" i="2"/>
  <c r="O570" i="2"/>
  <c r="O571" i="2"/>
  <c r="O572" i="2"/>
  <c r="P572" i="2"/>
  <c r="Q572" i="2"/>
  <c r="Q104" i="2" s="1"/>
  <c r="R570" i="2"/>
  <c r="R571" i="2"/>
  <c r="R572" i="2"/>
  <c r="S570" i="2"/>
  <c r="S571" i="2"/>
  <c r="S572" i="2"/>
  <c r="T572" i="2"/>
  <c r="U570" i="2"/>
  <c r="V570" i="2" s="1"/>
  <c r="V572" i="2" s="1"/>
  <c r="V571" i="2"/>
  <c r="W571" i="2"/>
  <c r="AG104" i="2"/>
  <c r="AX104" i="2"/>
  <c r="BS572" i="2"/>
  <c r="BT572" i="2"/>
  <c r="BU572" i="2"/>
  <c r="BV572" i="2"/>
  <c r="BW572" i="2"/>
  <c r="BX572" i="2"/>
  <c r="CI104" i="2"/>
  <c r="H539" i="2"/>
  <c r="H106" i="2" s="1"/>
  <c r="I539" i="2"/>
  <c r="J539" i="2"/>
  <c r="J106" i="2"/>
  <c r="N107" i="2" s="1"/>
  <c r="K539" i="2"/>
  <c r="K106" i="2" s="1"/>
  <c r="L539" i="2"/>
  <c r="L106" i="2"/>
  <c r="M539" i="2"/>
  <c r="M106" i="2" s="1"/>
  <c r="N539" i="2"/>
  <c r="N106" i="2"/>
  <c r="O539" i="2"/>
  <c r="O106" i="2"/>
  <c r="O107" i="2" s="1"/>
  <c r="P539" i="2"/>
  <c r="P106" i="2"/>
  <c r="Q539" i="2"/>
  <c r="Q106" i="2" s="1"/>
  <c r="R539" i="2"/>
  <c r="R106" i="2"/>
  <c r="S539" i="2"/>
  <c r="S106" i="2" s="1"/>
  <c r="T539" i="2"/>
  <c r="T106" i="2"/>
  <c r="U539" i="2"/>
  <c r="U106" i="2" s="1"/>
  <c r="V539" i="2"/>
  <c r="V106" i="2"/>
  <c r="W539" i="2"/>
  <c r="X539" i="2"/>
  <c r="X106" i="2" s="1"/>
  <c r="Y539" i="2"/>
  <c r="Z539" i="2"/>
  <c r="Z106" i="2"/>
  <c r="Z107" i="2" s="1"/>
  <c r="AA539" i="2"/>
  <c r="AA106" i="2" s="1"/>
  <c r="AB539" i="2"/>
  <c r="AB106" i="2"/>
  <c r="AC539" i="2"/>
  <c r="AC106" i="2" s="1"/>
  <c r="AD539" i="2"/>
  <c r="AD106" i="2"/>
  <c r="AE539" i="2"/>
  <c r="AE106" i="2"/>
  <c r="AF539" i="2"/>
  <c r="AF106" i="2"/>
  <c r="AG539" i="2"/>
  <c r="AG106" i="2" s="1"/>
  <c r="AH539" i="2"/>
  <c r="AH106" i="2"/>
  <c r="AI539" i="2"/>
  <c r="AI106" i="2"/>
  <c r="AJ539" i="2"/>
  <c r="AJ106" i="2"/>
  <c r="AK539" i="2"/>
  <c r="AK106" i="2" s="1"/>
  <c r="AL539" i="2"/>
  <c r="AL106" i="2"/>
  <c r="AM539" i="2"/>
  <c r="AN539" i="2"/>
  <c r="AN106" i="2" s="1"/>
  <c r="AO539" i="2"/>
  <c r="AP539" i="2"/>
  <c r="AP106" i="2"/>
  <c r="AP107" i="2" s="1"/>
  <c r="AQ539" i="2"/>
  <c r="AQ106" i="2" s="1"/>
  <c r="AR539" i="2"/>
  <c r="AR106" i="2"/>
  <c r="AS539" i="2"/>
  <c r="AS106" i="2" s="1"/>
  <c r="AT539" i="2"/>
  <c r="AT106" i="2"/>
  <c r="AU539" i="2"/>
  <c r="AU106" i="2"/>
  <c r="AU107" i="2" s="1"/>
  <c r="AV539" i="2"/>
  <c r="AV106" i="2"/>
  <c r="AW539" i="2"/>
  <c r="AW106" i="2" s="1"/>
  <c r="AX539" i="2"/>
  <c r="AX106" i="2"/>
  <c r="AY539" i="2"/>
  <c r="AY106" i="2"/>
  <c r="AZ539" i="2"/>
  <c r="AZ106" i="2"/>
  <c r="BA539" i="2"/>
  <c r="BA106" i="2" s="1"/>
  <c r="BA107" i="2" s="1"/>
  <c r="BB539" i="2"/>
  <c r="BC539" i="2"/>
  <c r="BC106" i="2"/>
  <c r="BC107" i="2" s="1"/>
  <c r="BD539" i="2"/>
  <c r="BD106" i="2" s="1"/>
  <c r="BE539" i="2"/>
  <c r="BE106" i="2"/>
  <c r="BF539" i="2"/>
  <c r="BG539" i="2"/>
  <c r="BG106" i="2" s="1"/>
  <c r="BH539" i="2"/>
  <c r="BH106" i="2"/>
  <c r="BI539" i="2"/>
  <c r="BI106" i="2" s="1"/>
  <c r="BJ539" i="2"/>
  <c r="BJ106" i="2"/>
  <c r="BS539" i="2"/>
  <c r="BS106" i="2"/>
  <c r="BT539" i="2"/>
  <c r="BT106" i="2"/>
  <c r="BU539" i="2"/>
  <c r="BV539" i="2"/>
  <c r="BV106" i="2"/>
  <c r="BW539" i="2"/>
  <c r="BX539" i="2"/>
  <c r="BY539" i="2"/>
  <c r="BZ539" i="2"/>
  <c r="CA539" i="2"/>
  <c r="CA106" i="2"/>
  <c r="CI105" i="2"/>
  <c r="V107" i="2"/>
  <c r="AI107" i="2"/>
  <c r="AL107" i="2"/>
  <c r="AY107" i="2"/>
  <c r="AJ110" i="2"/>
  <c r="AK110" i="2"/>
  <c r="AL110" i="2"/>
  <c r="AM110" i="2"/>
  <c r="AN110" i="2"/>
  <c r="AO110" i="2"/>
  <c r="AP110" i="2"/>
  <c r="AQ110" i="2"/>
  <c r="AR110" i="2"/>
  <c r="AS110" i="2"/>
  <c r="AT110" i="2"/>
  <c r="AU110" i="2"/>
  <c r="AV110" i="2"/>
  <c r="AW110" i="2"/>
  <c r="AX110" i="2"/>
  <c r="AY110" i="2"/>
  <c r="AZ110" i="2"/>
  <c r="BA110" i="2"/>
  <c r="CF110" i="2" s="1"/>
  <c r="BB110" i="2"/>
  <c r="BC110" i="2"/>
  <c r="BD110" i="2"/>
  <c r="BE110" i="2"/>
  <c r="BF110" i="2"/>
  <c r="BG110" i="2"/>
  <c r="BH110" i="2"/>
  <c r="CH110" i="2" s="1"/>
  <c r="BI110" i="2"/>
  <c r="BJ110" i="2"/>
  <c r="BS110" i="2"/>
  <c r="BT110" i="2"/>
  <c r="BU110" i="2"/>
  <c r="BV110" i="2"/>
  <c r="BW110" i="2"/>
  <c r="BX110" i="2"/>
  <c r="BY110" i="2"/>
  <c r="BZ110" i="2"/>
  <c r="CA110" i="2"/>
  <c r="CB110" i="2"/>
  <c r="CC546" i="2"/>
  <c r="CC110" i="2" s="1"/>
  <c r="CD546" i="2"/>
  <c r="CD110" i="2"/>
  <c r="CE110" i="2"/>
  <c r="CG110" i="2"/>
  <c r="CI110" i="2"/>
  <c r="AJ111" i="2"/>
  <c r="AK111" i="2"/>
  <c r="AL111" i="2"/>
  <c r="AM111" i="2"/>
  <c r="AN111" i="2"/>
  <c r="AO111" i="2"/>
  <c r="AP111" i="2"/>
  <c r="AQ111" i="2"/>
  <c r="AR111" i="2"/>
  <c r="AS111" i="2"/>
  <c r="AT111" i="2"/>
  <c r="AU111" i="2"/>
  <c r="AV111" i="2"/>
  <c r="CE111" i="2" s="1"/>
  <c r="AW111" i="2"/>
  <c r="AX111" i="2"/>
  <c r="AY111" i="2"/>
  <c r="AZ111" i="2"/>
  <c r="BA111" i="2"/>
  <c r="BB111" i="2"/>
  <c r="BC111" i="2"/>
  <c r="CF111" i="2" s="1"/>
  <c r="BD111" i="2"/>
  <c r="BE111" i="2"/>
  <c r="BF111" i="2"/>
  <c r="BG111" i="2"/>
  <c r="BH111" i="2"/>
  <c r="BI111" i="2"/>
  <c r="BJ111" i="2"/>
  <c r="CH111" i="2" s="1"/>
  <c r="BS111" i="2"/>
  <c r="BT111" i="2"/>
  <c r="BU111" i="2"/>
  <c r="BV111" i="2"/>
  <c r="BW111" i="2"/>
  <c r="BX111" i="2"/>
  <c r="BY111" i="2"/>
  <c r="BZ111" i="2"/>
  <c r="CA111" i="2"/>
  <c r="CB111" i="2"/>
  <c r="CC545" i="2"/>
  <c r="CC111" i="2" s="1"/>
  <c r="CD545" i="2"/>
  <c r="CD111" i="2" s="1"/>
  <c r="CG111" i="2"/>
  <c r="CI111" i="2"/>
  <c r="H112" i="2"/>
  <c r="I112" i="2"/>
  <c r="J112" i="2"/>
  <c r="K112" i="2"/>
  <c r="L112" i="2"/>
  <c r="M112" i="2"/>
  <c r="N112" i="2"/>
  <c r="O112" i="2"/>
  <c r="P112" i="2"/>
  <c r="Q112" i="2"/>
  <c r="R112" i="2"/>
  <c r="S112" i="2"/>
  <c r="T112" i="2"/>
  <c r="U112" i="2"/>
  <c r="V112" i="2"/>
  <c r="W112" i="2"/>
  <c r="X112" i="2"/>
  <c r="Y112" i="2"/>
  <c r="Z112" i="2"/>
  <c r="AA112" i="2"/>
  <c r="AB112" i="2"/>
  <c r="AC112" i="2"/>
  <c r="AD112" i="2"/>
  <c r="AE112" i="2"/>
  <c r="AF112" i="2"/>
  <c r="AG112" i="2"/>
  <c r="AH112" i="2"/>
  <c r="AI112" i="2"/>
  <c r="AJ112" i="2"/>
  <c r="AK112" i="2"/>
  <c r="AL112" i="2"/>
  <c r="AM112" i="2"/>
  <c r="AN112" i="2"/>
  <c r="AO112" i="2"/>
  <c r="AP112" i="2"/>
  <c r="AQ112" i="2"/>
  <c r="AR112" i="2"/>
  <c r="AS112" i="2"/>
  <c r="AT112" i="2"/>
  <c r="AU112" i="2"/>
  <c r="AV112" i="2"/>
  <c r="AW112" i="2"/>
  <c r="AX112" i="2"/>
  <c r="AY112" i="2"/>
  <c r="CE112" i="2" s="1"/>
  <c r="AZ112" i="2"/>
  <c r="BA112" i="2"/>
  <c r="BB112" i="2"/>
  <c r="BC112" i="2"/>
  <c r="BD112" i="2"/>
  <c r="BE112" i="2"/>
  <c r="BF112" i="2"/>
  <c r="BG112" i="2"/>
  <c r="BH112" i="2"/>
  <c r="BI112" i="2"/>
  <c r="CH112" i="2" s="1"/>
  <c r="BJ112" i="2"/>
  <c r="BS112" i="2"/>
  <c r="BT112" i="2"/>
  <c r="BU112" i="2"/>
  <c r="BV112" i="2"/>
  <c r="BW112" i="2"/>
  <c r="BX112" i="2"/>
  <c r="BY112" i="2"/>
  <c r="BZ112" i="2"/>
  <c r="CA112" i="2"/>
  <c r="CB112" i="2"/>
  <c r="CC556" i="2"/>
  <c r="CC557" i="2"/>
  <c r="CC558" i="2"/>
  <c r="CC112" i="2"/>
  <c r="CD556" i="2"/>
  <c r="CD112" i="2" s="1"/>
  <c r="CD557" i="2"/>
  <c r="CD558" i="2"/>
  <c r="CG112" i="2"/>
  <c r="CI112" i="2"/>
  <c r="AN113" i="2"/>
  <c r="AO113" i="2"/>
  <c r="AP113" i="2"/>
  <c r="AQ113" i="2"/>
  <c r="AR113" i="2"/>
  <c r="AS113" i="2"/>
  <c r="AT113" i="2"/>
  <c r="AU113" i="2"/>
  <c r="AV113" i="2"/>
  <c r="AW113" i="2"/>
  <c r="AX113" i="2"/>
  <c r="AY113" i="2"/>
  <c r="AZ113" i="2"/>
  <c r="BA113" i="2"/>
  <c r="BB113" i="2"/>
  <c r="BC113" i="2"/>
  <c r="BD113" i="2"/>
  <c r="BE113" i="2"/>
  <c r="BF113" i="2"/>
  <c r="BG113" i="2"/>
  <c r="BH113" i="2"/>
  <c r="BI113" i="2"/>
  <c r="BJ113" i="2"/>
  <c r="BS113" i="2"/>
  <c r="BT113" i="2"/>
  <c r="BU113" i="2"/>
  <c r="BV113" i="2"/>
  <c r="BW113" i="2"/>
  <c r="BX113" i="2"/>
  <c r="BY113" i="2"/>
  <c r="BZ113" i="2"/>
  <c r="CA113" i="2"/>
  <c r="CB113" i="2"/>
  <c r="CC559" i="2"/>
  <c r="CC113" i="2" s="1"/>
  <c r="CD559" i="2"/>
  <c r="CD113" i="2" s="1"/>
  <c r="CE559" i="2"/>
  <c r="CE113" i="2"/>
  <c r="CF559" i="2"/>
  <c r="CF113" i="2" s="1"/>
  <c r="CG559" i="2"/>
  <c r="CG113" i="2"/>
  <c r="CH113" i="2"/>
  <c r="CI113" i="2"/>
  <c r="AJ114" i="2"/>
  <c r="AK114" i="2"/>
  <c r="AL114" i="2"/>
  <c r="AM114" i="2"/>
  <c r="AN114" i="2"/>
  <c r="AO114" i="2"/>
  <c r="AP114" i="2"/>
  <c r="AQ114" i="2"/>
  <c r="AR114" i="2"/>
  <c r="AS114" i="2"/>
  <c r="AT114" i="2"/>
  <c r="AU114" i="2"/>
  <c r="AV114" i="2"/>
  <c r="CE114" i="2" s="1"/>
  <c r="AW114" i="2"/>
  <c r="AX114" i="2"/>
  <c r="AY114" i="2"/>
  <c r="AZ114" i="2"/>
  <c r="BA114" i="2"/>
  <c r="BB114" i="2"/>
  <c r="CF114" i="2" s="1"/>
  <c r="BC114" i="2"/>
  <c r="BD114" i="2"/>
  <c r="CG114" i="2" s="1"/>
  <c r="BE114" i="2"/>
  <c r="BF114" i="2"/>
  <c r="BG114" i="2"/>
  <c r="BH114" i="2"/>
  <c r="BI114" i="2"/>
  <c r="BJ114" i="2"/>
  <c r="CH114" i="2" s="1"/>
  <c r="BS114" i="2"/>
  <c r="BT114" i="2"/>
  <c r="BU114" i="2"/>
  <c r="BV114" i="2"/>
  <c r="BW114" i="2"/>
  <c r="BX114" i="2"/>
  <c r="BY114" i="2"/>
  <c r="BZ114" i="2"/>
  <c r="CA114" i="2"/>
  <c r="CB114" i="2"/>
  <c r="CC551" i="2"/>
  <c r="CC114" i="2" s="1"/>
  <c r="CD551" i="2"/>
  <c r="CD114" i="2" s="1"/>
  <c r="CI114" i="2"/>
  <c r="L117" i="2"/>
  <c r="L119" i="2" s="1"/>
  <c r="M117" i="2"/>
  <c r="M119" i="2" s="1"/>
  <c r="N117" i="2"/>
  <c r="N119" i="2" s="1"/>
  <c r="O117" i="2"/>
  <c r="BV117" i="2" s="1"/>
  <c r="BV119" i="2" s="1"/>
  <c r="P117" i="2"/>
  <c r="P119" i="2" s="1"/>
  <c r="Q117" i="2"/>
  <c r="Q119" i="2" s="1"/>
  <c r="R117" i="2"/>
  <c r="S117" i="2"/>
  <c r="T117" i="2"/>
  <c r="U117" i="2"/>
  <c r="V117" i="2"/>
  <c r="W117" i="2"/>
  <c r="X117" i="2"/>
  <c r="X119" i="2" s="1"/>
  <c r="Y117" i="2"/>
  <c r="Z117" i="2"/>
  <c r="AA117" i="2"/>
  <c r="AA119" i="2" s="1"/>
  <c r="AB117" i="2"/>
  <c r="AB119" i="2" s="1"/>
  <c r="AC117" i="2"/>
  <c r="AC119" i="2" s="1"/>
  <c r="AD117" i="2"/>
  <c r="AD119" i="2" s="1"/>
  <c r="AE117" i="2"/>
  <c r="BZ117" i="2" s="1"/>
  <c r="BZ119" i="2" s="1"/>
  <c r="AF117" i="2"/>
  <c r="AF119" i="2" s="1"/>
  <c r="AG117" i="2"/>
  <c r="AG119" i="2" s="1"/>
  <c r="AH117" i="2"/>
  <c r="AH119" i="2" s="1"/>
  <c r="AI117" i="2"/>
  <c r="AJ117" i="2"/>
  <c r="AK117" i="2"/>
  <c r="AL117" i="2"/>
  <c r="AM117" i="2"/>
  <c r="AN117" i="2"/>
  <c r="AN119" i="2" s="1"/>
  <c r="AO117" i="2"/>
  <c r="AP117" i="2"/>
  <c r="AQ117" i="2"/>
  <c r="AQ119" i="2" s="1"/>
  <c r="CC119" i="2" s="1"/>
  <c r="AR117" i="2"/>
  <c r="AR119" i="2" s="1"/>
  <c r="AS117" i="2"/>
  <c r="AS119" i="2" s="1"/>
  <c r="AT117" i="2"/>
  <c r="AT119" i="2" s="1"/>
  <c r="AU117" i="2"/>
  <c r="CD117" i="2" s="1"/>
  <c r="AV117" i="2"/>
  <c r="AV119" i="2" s="1"/>
  <c r="AW117" i="2"/>
  <c r="AW119" i="2" s="1"/>
  <c r="AX117" i="2"/>
  <c r="AX119" i="2" s="1"/>
  <c r="AY117" i="2"/>
  <c r="AZ117" i="2"/>
  <c r="BA117" i="2"/>
  <c r="BB117" i="2"/>
  <c r="BC117" i="2"/>
  <c r="BD117" i="2"/>
  <c r="BD119" i="2" s="1"/>
  <c r="BE117" i="2"/>
  <c r="BF117" i="2"/>
  <c r="BG117" i="2"/>
  <c r="BG119" i="2" s="1"/>
  <c r="CG119" i="2" s="1"/>
  <c r="BH117" i="2"/>
  <c r="BH119" i="2" s="1"/>
  <c r="BI117" i="2"/>
  <c r="BI119" i="2" s="1"/>
  <c r="BJ117" i="2"/>
  <c r="BJ119" i="2" s="1"/>
  <c r="BK117" i="2"/>
  <c r="BL117" i="2"/>
  <c r="BM117" i="2" s="1"/>
  <c r="BN117" i="2"/>
  <c r="BO117" i="2" s="1"/>
  <c r="CI117" i="2" s="1"/>
  <c r="BT117" i="2"/>
  <c r="BU117" i="2"/>
  <c r="BX117" i="2"/>
  <c r="BY117" i="2"/>
  <c r="CA117" i="2"/>
  <c r="CB117" i="2"/>
  <c r="CC117" i="2"/>
  <c r="CE117" i="2"/>
  <c r="CF117" i="2"/>
  <c r="CG117" i="2"/>
  <c r="CH117" i="2"/>
  <c r="L118" i="2"/>
  <c r="M118" i="2"/>
  <c r="N118" i="2"/>
  <c r="O118" i="2"/>
  <c r="P118" i="2"/>
  <c r="Q118" i="2"/>
  <c r="R118" i="2"/>
  <c r="S118" i="2"/>
  <c r="T118" i="2"/>
  <c r="U118" i="2"/>
  <c r="V118" i="2"/>
  <c r="W118" i="2"/>
  <c r="BX118" i="2" s="1"/>
  <c r="X118" i="2"/>
  <c r="Y118" i="2"/>
  <c r="Z118" i="2"/>
  <c r="AA118" i="2"/>
  <c r="AB118" i="2"/>
  <c r="AC118" i="2"/>
  <c r="AD118" i="2"/>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CF118" i="2" s="1"/>
  <c r="BD118" i="2"/>
  <c r="BE118" i="2"/>
  <c r="BF118" i="2"/>
  <c r="BG118" i="2"/>
  <c r="BH118" i="2"/>
  <c r="BI118" i="2"/>
  <c r="BJ118" i="2"/>
  <c r="BT118" i="2"/>
  <c r="BU118" i="2"/>
  <c r="BU119" i="2" s="1"/>
  <c r="BV118" i="2"/>
  <c r="BW118" i="2"/>
  <c r="BY118" i="2"/>
  <c r="BZ118" i="2"/>
  <c r="CA118" i="2"/>
  <c r="CB118" i="2"/>
  <c r="CC118" i="2"/>
  <c r="CD118" i="2"/>
  <c r="CE118" i="2"/>
  <c r="CG118" i="2"/>
  <c r="O119" i="2"/>
  <c r="S119" i="2"/>
  <c r="T119" i="2"/>
  <c r="U119" i="2"/>
  <c r="V119" i="2"/>
  <c r="W119" i="2"/>
  <c r="Y119" i="2"/>
  <c r="AE119" i="2"/>
  <c r="AI119" i="2"/>
  <c r="AJ119" i="2"/>
  <c r="AK119" i="2"/>
  <c r="AL119" i="2"/>
  <c r="AM119" i="2"/>
  <c r="AO119" i="2"/>
  <c r="AU119" i="2"/>
  <c r="AY119" i="2"/>
  <c r="CE119" i="2" s="1"/>
  <c r="AZ119" i="2"/>
  <c r="BA119" i="2"/>
  <c r="BB119" i="2"/>
  <c r="BC119" i="2"/>
  <c r="CF119" i="2" s="1"/>
  <c r="BE119" i="2"/>
  <c r="BT119" i="2"/>
  <c r="BY119" i="2"/>
  <c r="CA119" i="2"/>
  <c r="CB119" i="2"/>
  <c r="CD119" i="2"/>
  <c r="BT124" i="2"/>
  <c r="BU124" i="2"/>
  <c r="BV124" i="2"/>
  <c r="BV138" i="2" s="1"/>
  <c r="BW124" i="2"/>
  <c r="BX124" i="2"/>
  <c r="BY124" i="2"/>
  <c r="BY125" i="2" s="1"/>
  <c r="BZ124" i="2"/>
  <c r="BZ125" i="2" s="1"/>
  <c r="CA124" i="2"/>
  <c r="CA134" i="2" s="1"/>
  <c r="CA143" i="2" s="1"/>
  <c r="CB124" i="2"/>
  <c r="CB134" i="2" s="1"/>
  <c r="CC124" i="2"/>
  <c r="CC125" i="2" s="1"/>
  <c r="CD124" i="2"/>
  <c r="CE162" i="2" s="1"/>
  <c r="CE124" i="2"/>
  <c r="CF124" i="2"/>
  <c r="CG124" i="2"/>
  <c r="D126" i="2"/>
  <c r="D125" i="2" s="1"/>
  <c r="E126" i="2"/>
  <c r="E125" i="2" s="1"/>
  <c r="E148" i="2" s="1"/>
  <c r="F126" i="2"/>
  <c r="F125" i="2" s="1"/>
  <c r="G148" i="2" s="1"/>
  <c r="G125" i="2"/>
  <c r="H125" i="2"/>
  <c r="H130" i="2" s="1"/>
  <c r="I125" i="2"/>
  <c r="I130" i="2" s="1"/>
  <c r="J125" i="2"/>
  <c r="J130" i="2" s="1"/>
  <c r="K125" i="2"/>
  <c r="L125" i="2"/>
  <c r="L130" i="2" s="1"/>
  <c r="M125" i="2"/>
  <c r="M139" i="2" s="1"/>
  <c r="N125" i="2"/>
  <c r="N139" i="2" s="1"/>
  <c r="O125" i="2"/>
  <c r="P125" i="2"/>
  <c r="Q125" i="2"/>
  <c r="R125" i="2"/>
  <c r="S125" i="2"/>
  <c r="T125" i="2"/>
  <c r="U125" i="2"/>
  <c r="U139" i="2" s="1"/>
  <c r="V125" i="2"/>
  <c r="V130" i="2" s="1"/>
  <c r="W125" i="2"/>
  <c r="W130" i="2" s="1"/>
  <c r="X125" i="2"/>
  <c r="X130" i="2" s="1"/>
  <c r="Y125" i="2"/>
  <c r="Y130" i="2" s="1"/>
  <c r="Z125" i="2"/>
  <c r="Z130" i="2" s="1"/>
  <c r="AA125" i="2"/>
  <c r="AB125" i="2"/>
  <c r="AB130" i="2" s="1"/>
  <c r="AC125" i="2"/>
  <c r="AC139" i="2" s="1"/>
  <c r="AD125" i="2"/>
  <c r="AD139" i="2" s="1"/>
  <c r="AE125" i="2"/>
  <c r="AF125" i="2"/>
  <c r="AG125" i="2"/>
  <c r="AH125" i="2"/>
  <c r="AI125" i="2"/>
  <c r="AJ125" i="2"/>
  <c r="AK125" i="2"/>
  <c r="AK139" i="2" s="1"/>
  <c r="AL125" i="2"/>
  <c r="AL130" i="2" s="1"/>
  <c r="AM125" i="2"/>
  <c r="AM130" i="2" s="1"/>
  <c r="AN125" i="2"/>
  <c r="AN130" i="2" s="1"/>
  <c r="AO125" i="2"/>
  <c r="AO130" i="2" s="1"/>
  <c r="AP125" i="2"/>
  <c r="AP130" i="2" s="1"/>
  <c r="AQ125" i="2"/>
  <c r="AR125" i="2"/>
  <c r="AR130" i="2" s="1"/>
  <c r="AS125" i="2"/>
  <c r="AS139" i="2" s="1"/>
  <c r="AT125" i="2"/>
  <c r="AT139" i="2" s="1"/>
  <c r="AU125" i="2"/>
  <c r="AV125" i="2"/>
  <c r="AW125" i="2"/>
  <c r="AX125" i="2"/>
  <c r="AY125" i="2"/>
  <c r="AZ125" i="2"/>
  <c r="BA125" i="2"/>
  <c r="CF125" i="2" s="1"/>
  <c r="BB125" i="2"/>
  <c r="BB130" i="2" s="1"/>
  <c r="BC125" i="2"/>
  <c r="BC130" i="2" s="1"/>
  <c r="BD125" i="2"/>
  <c r="BD130" i="2" s="1"/>
  <c r="BE125" i="2"/>
  <c r="BE130" i="2" s="1"/>
  <c r="BF125" i="2"/>
  <c r="BF130" i="2" s="1"/>
  <c r="BG125" i="2"/>
  <c r="BH125" i="2"/>
  <c r="BL125" i="2" s="1"/>
  <c r="BI125" i="2"/>
  <c r="BI139" i="2" s="1"/>
  <c r="BJ125" i="2"/>
  <c r="BJ139" i="2" s="1"/>
  <c r="BK125" i="2"/>
  <c r="BQ126" i="2"/>
  <c r="BQ125" i="2"/>
  <c r="BS139" i="2" s="1"/>
  <c r="BR126" i="2"/>
  <c r="BR131" i="2" s="1"/>
  <c r="BS126" i="2"/>
  <c r="BS131" i="2" s="1"/>
  <c r="BS125" i="2"/>
  <c r="BT126" i="2"/>
  <c r="BT131" i="2" s="1"/>
  <c r="BT125" i="2"/>
  <c r="BV125" i="2"/>
  <c r="BV139" i="2" s="1"/>
  <c r="BW125" i="2"/>
  <c r="CE125" i="2"/>
  <c r="H129" i="2"/>
  <c r="I129" i="2"/>
  <c r="J129" i="2"/>
  <c r="K129" i="2"/>
  <c r="L129" i="2"/>
  <c r="M129" i="2"/>
  <c r="N129" i="2"/>
  <c r="O129" i="2"/>
  <c r="P129" i="2"/>
  <c r="Q129" i="2"/>
  <c r="R129" i="2"/>
  <c r="S129" i="2"/>
  <c r="T129" i="2"/>
  <c r="U129" i="2"/>
  <c r="V129" i="2"/>
  <c r="W129" i="2"/>
  <c r="X129" i="2"/>
  <c r="Y129" i="2"/>
  <c r="Z129" i="2"/>
  <c r="AA129" i="2"/>
  <c r="AB129" i="2"/>
  <c r="AC129" i="2"/>
  <c r="AD129" i="2"/>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BF129" i="2"/>
  <c r="BG129" i="2"/>
  <c r="BH129" i="2"/>
  <c r="BI129" i="2"/>
  <c r="BJ129" i="2"/>
  <c r="BR129" i="2"/>
  <c r="BS129" i="2"/>
  <c r="BT129" i="2"/>
  <c r="BU129" i="2"/>
  <c r="BX129" i="2"/>
  <c r="BY129" i="2"/>
  <c r="BZ129" i="2"/>
  <c r="CA129" i="2"/>
  <c r="CB129" i="2"/>
  <c r="CC129" i="2"/>
  <c r="CE129" i="2"/>
  <c r="K130" i="2"/>
  <c r="R130" i="2"/>
  <c r="T130" i="2"/>
  <c r="U130" i="2"/>
  <c r="AA130" i="2"/>
  <c r="AH130" i="2"/>
  <c r="AJ130" i="2"/>
  <c r="AK130" i="2"/>
  <c r="AQ130" i="2"/>
  <c r="AX130" i="2"/>
  <c r="AZ130" i="2"/>
  <c r="BA130" i="2"/>
  <c r="BG130" i="2"/>
  <c r="BT130" i="2"/>
  <c r="H131" i="2"/>
  <c r="I131" i="2"/>
  <c r="J131" i="2"/>
  <c r="K131" i="2"/>
  <c r="L131" i="2"/>
  <c r="M131" i="2"/>
  <c r="N131" i="2"/>
  <c r="O131" i="2"/>
  <c r="P131" i="2"/>
  <c r="Q131" i="2"/>
  <c r="R131" i="2"/>
  <c r="S131" i="2"/>
  <c r="T131" i="2"/>
  <c r="U131" i="2"/>
  <c r="V131" i="2"/>
  <c r="W131" i="2"/>
  <c r="X131" i="2"/>
  <c r="Y131" i="2"/>
  <c r="Z131" i="2"/>
  <c r="AA131" i="2"/>
  <c r="AB131" i="2"/>
  <c r="AC131" i="2"/>
  <c r="AD131" i="2"/>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BF131" i="2"/>
  <c r="BG131" i="2"/>
  <c r="BH131" i="2"/>
  <c r="BI131" i="2"/>
  <c r="BJ131" i="2"/>
  <c r="BW131" i="2"/>
  <c r="BZ131" i="2"/>
  <c r="CA131" i="2"/>
  <c r="CB131" i="2"/>
  <c r="CC131" i="2"/>
  <c r="CD131" i="2"/>
  <c r="L134" i="2"/>
  <c r="M134" i="2"/>
  <c r="N134" i="2"/>
  <c r="O134" i="2"/>
  <c r="P134" i="2"/>
  <c r="Q134" i="2"/>
  <c r="R134" i="2"/>
  <c r="S134" i="2"/>
  <c r="T134" i="2"/>
  <c r="U134" i="2"/>
  <c r="V134" i="2"/>
  <c r="V143" i="2" s="1"/>
  <c r="W134" i="2"/>
  <c r="W143" i="2" s="1"/>
  <c r="X134" i="2"/>
  <c r="X143" i="2" s="1"/>
  <c r="Y134" i="2"/>
  <c r="Z134" i="2"/>
  <c r="AA134" i="2"/>
  <c r="AB134" i="2"/>
  <c r="AC134" i="2"/>
  <c r="AD134" i="2"/>
  <c r="AE134" i="2"/>
  <c r="AE143" i="2" s="1"/>
  <c r="AF134" i="2"/>
  <c r="AG134" i="2"/>
  <c r="AH134" i="2"/>
  <c r="AI134" i="2"/>
  <c r="AJ134" i="2"/>
  <c r="AK134" i="2"/>
  <c r="AL134" i="2"/>
  <c r="AL143" i="2" s="1"/>
  <c r="AM134" i="2"/>
  <c r="AM143" i="2" s="1"/>
  <c r="AN134" i="2"/>
  <c r="AN143" i="2" s="1"/>
  <c r="AO134" i="2"/>
  <c r="AP134" i="2"/>
  <c r="AQ134" i="2"/>
  <c r="AR134" i="2"/>
  <c r="AS134" i="2"/>
  <c r="AT134" i="2"/>
  <c r="AU134" i="2"/>
  <c r="AU143" i="2" s="1"/>
  <c r="AV134" i="2"/>
  <c r="AW134" i="2"/>
  <c r="AX134" i="2"/>
  <c r="AY134" i="2"/>
  <c r="AZ134" i="2"/>
  <c r="BA134" i="2"/>
  <c r="BB134" i="2"/>
  <c r="BB143" i="2" s="1"/>
  <c r="BC134" i="2"/>
  <c r="BC143" i="2" s="1"/>
  <c r="BD134" i="2"/>
  <c r="BD143" i="2" s="1"/>
  <c r="BE134" i="2"/>
  <c r="BF134" i="2"/>
  <c r="BG134" i="2"/>
  <c r="BH134" i="2"/>
  <c r="BI134" i="2"/>
  <c r="BJ134" i="2"/>
  <c r="BV157" i="2"/>
  <c r="BV162" i="2" s="1"/>
  <c r="BW157" i="2"/>
  <c r="BX157" i="2"/>
  <c r="BX134" i="2"/>
  <c r="BY157" i="2"/>
  <c r="BY134" i="2"/>
  <c r="BZ157" i="2"/>
  <c r="BZ134" i="2" s="1"/>
  <c r="BZ143" i="2" s="1"/>
  <c r="CA157" i="2"/>
  <c r="CA162" i="2" s="1"/>
  <c r="CB157" i="2"/>
  <c r="CC157" i="2"/>
  <c r="CD157" i="2"/>
  <c r="CD162" i="2" s="1"/>
  <c r="CE157" i="2"/>
  <c r="CF157" i="2"/>
  <c r="CG157" i="2"/>
  <c r="L138" i="2"/>
  <c r="M138" i="2"/>
  <c r="N138" i="2"/>
  <c r="O138" i="2"/>
  <c r="P138" i="2"/>
  <c r="Q138" i="2"/>
  <c r="R138" i="2"/>
  <c r="S138" i="2"/>
  <c r="T138" i="2"/>
  <c r="U138" i="2"/>
  <c r="V138" i="2"/>
  <c r="W138" i="2"/>
  <c r="X138" i="2"/>
  <c r="Y138" i="2"/>
  <c r="Z138" i="2"/>
  <c r="AA138" i="2"/>
  <c r="AB138" i="2"/>
  <c r="AC138" i="2"/>
  <c r="AD138" i="2"/>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J138" i="2"/>
  <c r="BS138" i="2"/>
  <c r="BT138" i="2"/>
  <c r="BU138" i="2"/>
  <c r="BW138" i="2"/>
  <c r="BX138" i="2"/>
  <c r="BY138" i="2"/>
  <c r="BZ138" i="2"/>
  <c r="CA138" i="2"/>
  <c r="CB138" i="2"/>
  <c r="CC138" i="2"/>
  <c r="CE138" i="2"/>
  <c r="CG138" i="2"/>
  <c r="L139" i="2"/>
  <c r="P139" i="2"/>
  <c r="Q139" i="2"/>
  <c r="R139" i="2"/>
  <c r="S139" i="2"/>
  <c r="T139" i="2"/>
  <c r="V139" i="2"/>
  <c r="X139" i="2"/>
  <c r="Y139" i="2"/>
  <c r="Z139" i="2"/>
  <c r="AA139" i="2"/>
  <c r="AB139" i="2"/>
  <c r="AF139" i="2"/>
  <c r="AG139" i="2"/>
  <c r="AH139" i="2"/>
  <c r="AI139" i="2"/>
  <c r="AJ139" i="2"/>
  <c r="AL139" i="2"/>
  <c r="AN139" i="2"/>
  <c r="AO139" i="2"/>
  <c r="AP139" i="2"/>
  <c r="AQ139" i="2"/>
  <c r="AR139" i="2"/>
  <c r="AV139" i="2"/>
  <c r="AW139" i="2"/>
  <c r="AX139" i="2"/>
  <c r="AY139" i="2"/>
  <c r="AZ139" i="2"/>
  <c r="BB139" i="2"/>
  <c r="BD139" i="2"/>
  <c r="BE139" i="2"/>
  <c r="BF139" i="2"/>
  <c r="BG139" i="2"/>
  <c r="BH139" i="2"/>
  <c r="L140" i="2"/>
  <c r="M140" i="2"/>
  <c r="O140" i="2"/>
  <c r="P140" i="2"/>
  <c r="Q140" i="2"/>
  <c r="R140" i="2"/>
  <c r="S140" i="2"/>
  <c r="T140" i="2"/>
  <c r="U140" i="2"/>
  <c r="V140" i="2"/>
  <c r="W140" i="2"/>
  <c r="X140" i="2"/>
  <c r="Y140" i="2"/>
  <c r="Z140" i="2"/>
  <c r="AA140" i="2"/>
  <c r="AB140" i="2"/>
  <c r="AC140" i="2"/>
  <c r="AD140" i="2"/>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J140" i="2"/>
  <c r="BS140" i="2"/>
  <c r="BT140" i="2"/>
  <c r="BV140" i="2"/>
  <c r="BY140" i="2"/>
  <c r="CA140" i="2"/>
  <c r="CB140" i="2"/>
  <c r="CC140" i="2"/>
  <c r="CD140" i="2"/>
  <c r="P143" i="2"/>
  <c r="Q143" i="2"/>
  <c r="R143" i="2"/>
  <c r="S143" i="2"/>
  <c r="T143" i="2"/>
  <c r="U143" i="2"/>
  <c r="AA143" i="2"/>
  <c r="AB143" i="2"/>
  <c r="AD143" i="2"/>
  <c r="AF143" i="2"/>
  <c r="AG143" i="2"/>
  <c r="AH143" i="2"/>
  <c r="AI143" i="2"/>
  <c r="AJ143" i="2"/>
  <c r="AK143" i="2"/>
  <c r="AQ143" i="2"/>
  <c r="AR143" i="2"/>
  <c r="AT143" i="2"/>
  <c r="AV143" i="2"/>
  <c r="AW143" i="2"/>
  <c r="AX143" i="2"/>
  <c r="AY143" i="2"/>
  <c r="AZ143" i="2"/>
  <c r="BA143" i="2"/>
  <c r="BG143" i="2"/>
  <c r="BH143" i="2"/>
  <c r="BJ143" i="2"/>
  <c r="BY143" i="2"/>
  <c r="E147" i="2"/>
  <c r="F147" i="2"/>
  <c r="G147" i="2"/>
  <c r="H147" i="2"/>
  <c r="I147" i="2"/>
  <c r="J147" i="2"/>
  <c r="K147" i="2"/>
  <c r="L147" i="2"/>
  <c r="M147" i="2"/>
  <c r="N147" i="2"/>
  <c r="O147" i="2"/>
  <c r="P147" i="2"/>
  <c r="Q147" i="2"/>
  <c r="R147" i="2"/>
  <c r="S147" i="2"/>
  <c r="T147" i="2"/>
  <c r="U147" i="2"/>
  <c r="V147" i="2"/>
  <c r="W147" i="2"/>
  <c r="X147" i="2"/>
  <c r="Y147" i="2"/>
  <c r="Z147" i="2"/>
  <c r="AA147" i="2"/>
  <c r="AB147" i="2"/>
  <c r="AC147" i="2"/>
  <c r="AD147" i="2"/>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BJ147" i="2"/>
  <c r="F148" i="2"/>
  <c r="H148" i="2"/>
  <c r="I148" i="2"/>
  <c r="J148" i="2"/>
  <c r="K148" i="2"/>
  <c r="L148" i="2"/>
  <c r="Q148" i="2"/>
  <c r="R148" i="2"/>
  <c r="S148" i="2"/>
  <c r="T148" i="2"/>
  <c r="U148" i="2"/>
  <c r="V148" i="2"/>
  <c r="W148" i="2"/>
  <c r="X148" i="2"/>
  <c r="Y148" i="2"/>
  <c r="Z148" i="2"/>
  <c r="AA148" i="2"/>
  <c r="AB148" i="2"/>
  <c r="AG148" i="2"/>
  <c r="AH148" i="2"/>
  <c r="AI148" i="2"/>
  <c r="AJ148" i="2"/>
  <c r="AK148" i="2"/>
  <c r="AL148" i="2"/>
  <c r="AM148" i="2"/>
  <c r="AN148" i="2"/>
  <c r="AO148" i="2"/>
  <c r="AP148" i="2"/>
  <c r="AQ148" i="2"/>
  <c r="AR148" i="2"/>
  <c r="AW148" i="2"/>
  <c r="AX148" i="2"/>
  <c r="AY148" i="2"/>
  <c r="AZ148" i="2"/>
  <c r="BA148" i="2"/>
  <c r="BB148" i="2"/>
  <c r="BC148" i="2"/>
  <c r="BD148" i="2"/>
  <c r="BE148" i="2"/>
  <c r="BF148" i="2"/>
  <c r="BG148" i="2"/>
  <c r="BH148" i="2"/>
  <c r="E149" i="2"/>
  <c r="F149" i="2"/>
  <c r="G149" i="2"/>
  <c r="L158" i="2"/>
  <c r="M158" i="2"/>
  <c r="N158" i="2"/>
  <c r="O158" i="2"/>
  <c r="P158" i="2"/>
  <c r="Q158" i="2"/>
  <c r="BW158" i="2" s="1"/>
  <c r="BW163" i="2" s="1"/>
  <c r="R158" i="2"/>
  <c r="S158" i="2"/>
  <c r="T158" i="2"/>
  <c r="U158" i="2"/>
  <c r="V158" i="2"/>
  <c r="BX158" i="2" s="1"/>
  <c r="W158" i="2"/>
  <c r="W163" i="2" s="1"/>
  <c r="X158" i="2"/>
  <c r="X163" i="2" s="1"/>
  <c r="Y158" i="2"/>
  <c r="Y163" i="2" s="1"/>
  <c r="Z158" i="2"/>
  <c r="Z163" i="2" s="1"/>
  <c r="AA158" i="2"/>
  <c r="AA163" i="2" s="1"/>
  <c r="AB158" i="2"/>
  <c r="AC158" i="2"/>
  <c r="AD158" i="2"/>
  <c r="AE158" i="2"/>
  <c r="AF158" i="2"/>
  <c r="AG158" i="2"/>
  <c r="AG163" i="2" s="1"/>
  <c r="AH158" i="2"/>
  <c r="AI158" i="2"/>
  <c r="AJ158" i="2"/>
  <c r="AK158" i="2"/>
  <c r="AL158" i="2"/>
  <c r="AM158" i="2"/>
  <c r="AM163" i="2" s="1"/>
  <c r="AN158" i="2"/>
  <c r="AN163" i="2" s="1"/>
  <c r="AO158" i="2"/>
  <c r="AO163" i="2" s="1"/>
  <c r="AP158" i="2"/>
  <c r="AP163" i="2" s="1"/>
  <c r="AQ158" i="2"/>
  <c r="AQ163" i="2" s="1"/>
  <c r="AR158" i="2"/>
  <c r="AS158" i="2"/>
  <c r="AT158" i="2"/>
  <c r="AU158" i="2"/>
  <c r="AV158" i="2"/>
  <c r="CE158" i="2" s="1"/>
  <c r="AW158" i="2"/>
  <c r="AW163" i="2" s="1"/>
  <c r="AX158" i="2"/>
  <c r="AY158" i="2"/>
  <c r="AZ158" i="2"/>
  <c r="CF158" i="2" s="1"/>
  <c r="BA158" i="2"/>
  <c r="BB158" i="2"/>
  <c r="BC158" i="2"/>
  <c r="BC163" i="2" s="1"/>
  <c r="BD158" i="2"/>
  <c r="BD163" i="2" s="1"/>
  <c r="BE158" i="2"/>
  <c r="BE163" i="2" s="1"/>
  <c r="BF158" i="2"/>
  <c r="BF163" i="2" s="1"/>
  <c r="BG158" i="2"/>
  <c r="BG163" i="2" s="1"/>
  <c r="BH158" i="2"/>
  <c r="BI158" i="2"/>
  <c r="BJ158" i="2"/>
  <c r="BR158" i="2"/>
  <c r="BS158" i="2"/>
  <c r="BT158" i="2"/>
  <c r="BT163" i="2" s="1"/>
  <c r="BU158" i="2"/>
  <c r="BV158" i="2"/>
  <c r="BZ158" i="2"/>
  <c r="CB158" i="2"/>
  <c r="CD158" i="2"/>
  <c r="L162" i="2"/>
  <c r="M162" i="2"/>
  <c r="N162" i="2"/>
  <c r="O162" i="2"/>
  <c r="P162" i="2"/>
  <c r="Q162" i="2"/>
  <c r="R162" i="2"/>
  <c r="S162" i="2"/>
  <c r="T162" i="2"/>
  <c r="U162" i="2"/>
  <c r="V162" i="2"/>
  <c r="W162" i="2"/>
  <c r="X162" i="2"/>
  <c r="Y162" i="2"/>
  <c r="Z162" i="2"/>
  <c r="AA162" i="2"/>
  <c r="AB162" i="2"/>
  <c r="AC162" i="2"/>
  <c r="AD162" i="2"/>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J162" i="2"/>
  <c r="BS162" i="2"/>
  <c r="BT162" i="2"/>
  <c r="BU162" i="2"/>
  <c r="BW162" i="2"/>
  <c r="BX162" i="2"/>
  <c r="BY162" i="2"/>
  <c r="BZ162" i="2"/>
  <c r="CB162" i="2"/>
  <c r="CC162" i="2"/>
  <c r="CF162" i="2"/>
  <c r="L163" i="2"/>
  <c r="M163" i="2"/>
  <c r="N163" i="2"/>
  <c r="O163" i="2"/>
  <c r="P163" i="2"/>
  <c r="R163" i="2"/>
  <c r="T163" i="2"/>
  <c r="U163" i="2"/>
  <c r="V163" i="2"/>
  <c r="AB163" i="2"/>
  <c r="AC163" i="2"/>
  <c r="AD163" i="2"/>
  <c r="AE163" i="2"/>
  <c r="AF163" i="2"/>
  <c r="AH163" i="2"/>
  <c r="AJ163" i="2"/>
  <c r="AK163" i="2"/>
  <c r="AL163" i="2"/>
  <c r="AR163" i="2"/>
  <c r="AS163" i="2"/>
  <c r="AT163" i="2"/>
  <c r="AU163" i="2"/>
  <c r="AV163" i="2"/>
  <c r="AX163" i="2"/>
  <c r="AZ163" i="2"/>
  <c r="BA163" i="2"/>
  <c r="BB163" i="2"/>
  <c r="BH163" i="2"/>
  <c r="BI163" i="2"/>
  <c r="BJ163" i="2"/>
  <c r="BU163" i="2"/>
  <c r="BX163" i="2"/>
  <c r="CF163" i="2"/>
  <c r="L164" i="2"/>
  <c r="M164" i="2"/>
  <c r="N164" i="2"/>
  <c r="O164" i="2"/>
  <c r="P164" i="2"/>
  <c r="Q164" i="2"/>
  <c r="R164" i="2"/>
  <c r="S164" i="2"/>
  <c r="T164" i="2"/>
  <c r="U164" i="2"/>
  <c r="V164" i="2"/>
  <c r="W164" i="2"/>
  <c r="X164" i="2"/>
  <c r="Y164" i="2"/>
  <c r="Z164" i="2"/>
  <c r="AA164" i="2"/>
  <c r="AB164" i="2"/>
  <c r="AC164" i="2"/>
  <c r="AD164" i="2"/>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J164" i="2"/>
  <c r="BS164" i="2"/>
  <c r="BT164" i="2"/>
  <c r="BU164" i="2"/>
  <c r="BW164" i="2"/>
  <c r="BX164" i="2"/>
  <c r="BZ164" i="2"/>
  <c r="CA164" i="2"/>
  <c r="CB164" i="2"/>
  <c r="CC164" i="2"/>
  <c r="CD164" i="2"/>
  <c r="CE164" i="2"/>
  <c r="BY168" i="2"/>
  <c r="BY169" i="2" s="1"/>
  <c r="BZ168" i="2"/>
  <c r="BZ169" i="2" s="1"/>
  <c r="CA168" i="2"/>
  <c r="CA169" i="2" s="1"/>
  <c r="CB168" i="2"/>
  <c r="CB171" i="2" s="1"/>
  <c r="CC168" i="2"/>
  <c r="CD169" i="2" s="1"/>
  <c r="CD168" i="2"/>
  <c r="CE168" i="2"/>
  <c r="CF168" i="2"/>
  <c r="CG168" i="2"/>
  <c r="CH168" i="2"/>
  <c r="CI168" i="2"/>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L169" i="2"/>
  <c r="BM169" i="2"/>
  <c r="BN169" i="2"/>
  <c r="BO169" i="2"/>
  <c r="BR169" i="2"/>
  <c r="BS169" i="2"/>
  <c r="BT169" i="2"/>
  <c r="BU169" i="2"/>
  <c r="BV169" i="2"/>
  <c r="BW169" i="2"/>
  <c r="BX169" i="2"/>
  <c r="CG169" i="2"/>
  <c r="CH169" i="2"/>
  <c r="CI169" i="2"/>
  <c r="AB170" i="2"/>
  <c r="AC170" i="2"/>
  <c r="AD170" i="2"/>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BL170" i="2"/>
  <c r="BM170" i="2"/>
  <c r="BN170" i="2"/>
  <c r="BO170" i="2"/>
  <c r="AB171" i="2"/>
  <c r="AC171" i="2"/>
  <c r="AD171" i="2"/>
  <c r="AE171" i="2"/>
  <c r="AE173" i="2" s="1"/>
  <c r="AF171" i="2"/>
  <c r="AG171" i="2"/>
  <c r="AH171" i="2"/>
  <c r="AI171" i="2"/>
  <c r="AI172" i="2" s="1"/>
  <c r="AJ171" i="2"/>
  <c r="AK171" i="2"/>
  <c r="AO172" i="2" s="1"/>
  <c r="AL171" i="2"/>
  <c r="AM171" i="2"/>
  <c r="AQ172" i="2" s="1"/>
  <c r="AN171" i="2"/>
  <c r="AO171" i="2"/>
  <c r="AP171" i="2"/>
  <c r="AQ171" i="2"/>
  <c r="AR171" i="2"/>
  <c r="AR172" i="2" s="1"/>
  <c r="AS171" i="2"/>
  <c r="AT171" i="2"/>
  <c r="AU171" i="2"/>
  <c r="AU172" i="2" s="1"/>
  <c r="AV171" i="2"/>
  <c r="AW171" i="2"/>
  <c r="AX171" i="2"/>
  <c r="AY171" i="2"/>
  <c r="AY172" i="2" s="1"/>
  <c r="AZ171" i="2"/>
  <c r="BA171" i="2"/>
  <c r="BE172" i="2" s="1"/>
  <c r="BB171" i="2"/>
  <c r="BC171" i="2"/>
  <c r="BG172" i="2" s="1"/>
  <c r="BD171" i="2"/>
  <c r="BE171" i="2"/>
  <c r="BF171" i="2"/>
  <c r="BG171" i="2"/>
  <c r="BH171" i="2"/>
  <c r="BI171" i="2"/>
  <c r="BJ171" i="2"/>
  <c r="BR171" i="2"/>
  <c r="BS171" i="2"/>
  <c r="BT171" i="2"/>
  <c r="BU171" i="2"/>
  <c r="BV171" i="2"/>
  <c r="BW171" i="2"/>
  <c r="BX171" i="2"/>
  <c r="BY171" i="2"/>
  <c r="CA171" i="2"/>
  <c r="CG171" i="2"/>
  <c r="CH171" i="2"/>
  <c r="CH172" i="2" s="1"/>
  <c r="CI171" i="2"/>
  <c r="CI172" i="2" s="1"/>
  <c r="AF172" i="2"/>
  <c r="AG172" i="2"/>
  <c r="AJ172" i="2"/>
  <c r="AK172" i="2"/>
  <c r="AM172" i="2"/>
  <c r="AS172" i="2"/>
  <c r="AV172" i="2"/>
  <c r="AW172" i="2"/>
  <c r="AZ172" i="2"/>
  <c r="BA172" i="2"/>
  <c r="BC172" i="2"/>
  <c r="BI172" i="2"/>
  <c r="BK172" i="2"/>
  <c r="BL172" i="2"/>
  <c r="BM172" i="2"/>
  <c r="BO172" i="2"/>
  <c r="CB172" i="2"/>
  <c r="AC173" i="2"/>
  <c r="AF173" i="2"/>
  <c r="AG173" i="2"/>
  <c r="AH173" i="2"/>
  <c r="AI173" i="2"/>
  <c r="AJ173" i="2"/>
  <c r="AK173" i="2"/>
  <c r="AM173" i="2"/>
  <c r="AP173" i="2"/>
  <c r="AQ173" i="2"/>
  <c r="AR173" i="2"/>
  <c r="AS173" i="2"/>
  <c r="AV173" i="2"/>
  <c r="AW173" i="2"/>
  <c r="AX173" i="2"/>
  <c r="AY173" i="2"/>
  <c r="AZ173" i="2"/>
  <c r="BA173" i="2"/>
  <c r="BC173" i="2"/>
  <c r="BF173" i="2"/>
  <c r="BG173" i="2"/>
  <c r="BH173" i="2"/>
  <c r="BI173" i="2"/>
  <c r="BL173" i="2"/>
  <c r="BM173" i="2"/>
  <c r="BN173" i="2"/>
  <c r="BO173" i="2"/>
  <c r="AB175" i="2"/>
  <c r="AC175" i="2"/>
  <c r="AD175" i="2"/>
  <c r="AE175" i="2"/>
  <c r="AE177" i="2" s="1"/>
  <c r="AG175" i="2"/>
  <c r="AH175" i="2"/>
  <c r="AO175" i="2"/>
  <c r="AQ175" i="2"/>
  <c r="AR175" i="2"/>
  <c r="AS175" i="2"/>
  <c r="AS176" i="2" s="1"/>
  <c r="AT175" i="2"/>
  <c r="AU175" i="2"/>
  <c r="AX175" i="2"/>
  <c r="BE175" i="2"/>
  <c r="BT179" i="2"/>
  <c r="BT180" i="2" s="1"/>
  <c r="BT175" i="2"/>
  <c r="BW179" i="2"/>
  <c r="BW175" i="2"/>
  <c r="AG176" i="2"/>
  <c r="AH176" i="2"/>
  <c r="AX176" i="2"/>
  <c r="BR176" i="2"/>
  <c r="BS176" i="2"/>
  <c r="BT176" i="2"/>
  <c r="AC177" i="2"/>
  <c r="AD177" i="2"/>
  <c r="AH177" i="2"/>
  <c r="AA179" i="2"/>
  <c r="AB179" i="2"/>
  <c r="AC179" i="2"/>
  <c r="AC181" i="2" s="1"/>
  <c r="AD179" i="2"/>
  <c r="AD181" i="2" s="1"/>
  <c r="AE179" i="2"/>
  <c r="AE181" i="2" s="1"/>
  <c r="AG179" i="2"/>
  <c r="AH179" i="2"/>
  <c r="AH181" i="2" s="1"/>
  <c r="AO179" i="2"/>
  <c r="AQ179" i="2"/>
  <c r="AR179" i="2"/>
  <c r="AR181" i="2" s="1"/>
  <c r="AS179" i="2"/>
  <c r="AT179" i="2"/>
  <c r="AT181" i="2" s="1"/>
  <c r="AU179" i="2"/>
  <c r="AU181" i="2" s="1"/>
  <c r="AX179" i="2"/>
  <c r="BE179" i="2"/>
  <c r="BG179" i="2"/>
  <c r="BH179" i="2"/>
  <c r="BH181" i="2" s="1"/>
  <c r="BI179" i="2"/>
  <c r="BJ179" i="2"/>
  <c r="BJ181" i="2" s="1"/>
  <c r="BQ179" i="2"/>
  <c r="BR179" i="2"/>
  <c r="BS179" i="2"/>
  <c r="BS180" i="2" s="1"/>
  <c r="AE180" i="2"/>
  <c r="AG180" i="2"/>
  <c r="AH180" i="2"/>
  <c r="AU180" i="2"/>
  <c r="BR180" i="2"/>
  <c r="AB184" i="2"/>
  <c r="AC184" i="2"/>
  <c r="AD184" i="2"/>
  <c r="AD186" i="2" s="1"/>
  <c r="AE184" i="2"/>
  <c r="AF184" i="2"/>
  <c r="AG184" i="2"/>
  <c r="AH184" i="2"/>
  <c r="AI184" i="2"/>
  <c r="AJ184" i="2"/>
  <c r="AK184" i="2"/>
  <c r="AK186" i="2" s="1"/>
  <c r="AL184" i="2"/>
  <c r="AM184" i="2"/>
  <c r="AM185" i="2" s="1"/>
  <c r="AN184" i="2"/>
  <c r="AN185" i="2" s="1"/>
  <c r="AO184" i="2"/>
  <c r="AP184" i="2"/>
  <c r="AP185" i="2" s="1"/>
  <c r="AQ184" i="2"/>
  <c r="AQ185" i="2" s="1"/>
  <c r="AR184" i="2"/>
  <c r="AR186" i="2" s="1"/>
  <c r="AS184" i="2"/>
  <c r="AT184" i="2"/>
  <c r="AT185" i="2" s="1"/>
  <c r="AU184" i="2"/>
  <c r="AV184" i="2"/>
  <c r="AW184" i="2"/>
  <c r="AX184" i="2"/>
  <c r="AY184" i="2"/>
  <c r="AZ184" i="2"/>
  <c r="BA184" i="2"/>
  <c r="BA186" i="2" s="1"/>
  <c r="BB184" i="2"/>
  <c r="BC184" i="2"/>
  <c r="BC185" i="2" s="1"/>
  <c r="BD184" i="2"/>
  <c r="BD185" i="2" s="1"/>
  <c r="BE184" i="2"/>
  <c r="BF184" i="2"/>
  <c r="BF185" i="2" s="1"/>
  <c r="BG184" i="2"/>
  <c r="BG185" i="2" s="1"/>
  <c r="BH184" i="2"/>
  <c r="BH186" i="2" s="1"/>
  <c r="BI184" i="2"/>
  <c r="BJ184" i="2"/>
  <c r="BJ185" i="2" s="1"/>
  <c r="BT184" i="2"/>
  <c r="BV184" i="2"/>
  <c r="BW184" i="2"/>
  <c r="BY184" i="2"/>
  <c r="BZ184" i="2"/>
  <c r="BZ185" i="2" s="1"/>
  <c r="CA184" i="2"/>
  <c r="CD184" i="2"/>
  <c r="CG184" i="2"/>
  <c r="AF185" i="2"/>
  <c r="AG185" i="2"/>
  <c r="AJ185" i="2"/>
  <c r="AK185" i="2"/>
  <c r="AL185" i="2"/>
  <c r="AR185" i="2"/>
  <c r="AV185" i="2"/>
  <c r="AW185" i="2"/>
  <c r="AZ185" i="2"/>
  <c r="BA185" i="2"/>
  <c r="BB185" i="2"/>
  <c r="BH185" i="2"/>
  <c r="BI185" i="2"/>
  <c r="BR185" i="2"/>
  <c r="BS185" i="2"/>
  <c r="BT185" i="2"/>
  <c r="BW185" i="2"/>
  <c r="CA185" i="2"/>
  <c r="AC186" i="2"/>
  <c r="AG186" i="2"/>
  <c r="AH186" i="2"/>
  <c r="AI186" i="2"/>
  <c r="AJ186" i="2"/>
  <c r="AL186" i="2"/>
  <c r="AM186" i="2"/>
  <c r="AN186" i="2"/>
  <c r="AS186" i="2"/>
  <c r="AW186" i="2"/>
  <c r="AX186" i="2"/>
  <c r="AY186" i="2"/>
  <c r="AZ186" i="2"/>
  <c r="BB186" i="2"/>
  <c r="BC186" i="2"/>
  <c r="BD186" i="2"/>
  <c r="AS188" i="2"/>
  <c r="BG188" i="2"/>
  <c r="BI188" i="2"/>
  <c r="BW188" i="2"/>
  <c r="BR189" i="2"/>
  <c r="BS189" i="2"/>
  <c r="CF195" i="2"/>
  <c r="CF202" i="2" s="1"/>
  <c r="CG195" i="2"/>
  <c r="CF196" i="2"/>
  <c r="CG196" i="2"/>
  <c r="D197" i="2"/>
  <c r="E197" i="2"/>
  <c r="F197" i="2"/>
  <c r="G197" i="2"/>
  <c r="H197" i="2"/>
  <c r="I197" i="2"/>
  <c r="J197" i="2"/>
  <c r="K197" i="2"/>
  <c r="L197" i="2"/>
  <c r="M197" i="2"/>
  <c r="N197" i="2"/>
  <c r="N199" i="2" s="1"/>
  <c r="O197" i="2"/>
  <c r="O199" i="2" s="1"/>
  <c r="P197" i="2"/>
  <c r="P204" i="2" s="1"/>
  <c r="Q197" i="2"/>
  <c r="U204" i="2" s="1"/>
  <c r="R197" i="2"/>
  <c r="V204" i="2" s="1"/>
  <c r="S197" i="2"/>
  <c r="W204" i="2" s="1"/>
  <c r="T197" i="2"/>
  <c r="U197" i="2"/>
  <c r="V197" i="2"/>
  <c r="W197" i="2"/>
  <c r="X197" i="2"/>
  <c r="Y197" i="2"/>
  <c r="Z197" i="2"/>
  <c r="AA197" i="2"/>
  <c r="AA199" i="2" s="1"/>
  <c r="AB197" i="2"/>
  <c r="AC197" i="2"/>
  <c r="AD197" i="2"/>
  <c r="AD199" i="2" s="1"/>
  <c r="AE197" i="2"/>
  <c r="AE199" i="2" s="1"/>
  <c r="AF197" i="2"/>
  <c r="AF204" i="2" s="1"/>
  <c r="AG197" i="2"/>
  <c r="AK204" i="2" s="1"/>
  <c r="AH197" i="2"/>
  <c r="AL204" i="2" s="1"/>
  <c r="AI197" i="2"/>
  <c r="AJ197" i="2"/>
  <c r="AK197" i="2"/>
  <c r="AL197" i="2"/>
  <c r="AM197" i="2"/>
  <c r="AM204" i="2" s="1"/>
  <c r="AN197" i="2"/>
  <c r="AO197" i="2"/>
  <c r="AP197" i="2"/>
  <c r="AQ197" i="2"/>
  <c r="AQ199" i="2" s="1"/>
  <c r="AR197" i="2"/>
  <c r="AS197" i="2"/>
  <c r="AT197" i="2"/>
  <c r="AT199" i="2" s="1"/>
  <c r="AU197" i="2"/>
  <c r="AU199" i="2" s="1"/>
  <c r="AV197" i="2"/>
  <c r="AV204" i="2" s="1"/>
  <c r="AW197" i="2"/>
  <c r="AW199" i="2" s="1"/>
  <c r="AX197" i="2"/>
  <c r="AY197" i="2"/>
  <c r="AZ197" i="2"/>
  <c r="BA197" i="2"/>
  <c r="BA204" i="2" s="1"/>
  <c r="BB197" i="2"/>
  <c r="BB204" i="2" s="1"/>
  <c r="BC197" i="2"/>
  <c r="BC204" i="2" s="1"/>
  <c r="BD197" i="2"/>
  <c r="BE197" i="2"/>
  <c r="BF197" i="2"/>
  <c r="BG197" i="2"/>
  <c r="BG199" i="2" s="1"/>
  <c r="BH197" i="2"/>
  <c r="BI197" i="2"/>
  <c r="BJ197" i="2"/>
  <c r="BJ199" i="2" s="1"/>
  <c r="BQ197" i="2"/>
  <c r="BQ199" i="2" s="1"/>
  <c r="BR197" i="2"/>
  <c r="BR204" i="2" s="1"/>
  <c r="BS197" i="2"/>
  <c r="BS199" i="2" s="1"/>
  <c r="BT197" i="2"/>
  <c r="BU197" i="2"/>
  <c r="BV197" i="2"/>
  <c r="BW197" i="2"/>
  <c r="BX197" i="2"/>
  <c r="BX204" i="2" s="1"/>
  <c r="BY197" i="2"/>
  <c r="BY204" i="2" s="1"/>
  <c r="BZ197" i="2"/>
  <c r="CA197" i="2"/>
  <c r="CB197" i="2"/>
  <c r="CC197" i="2"/>
  <c r="CC199" i="2" s="1"/>
  <c r="CD197" i="2"/>
  <c r="CE197" i="2"/>
  <c r="CF197" i="2"/>
  <c r="CF204" i="2" s="1"/>
  <c r="CF198" i="2"/>
  <c r="CG198" i="2"/>
  <c r="CG205" i="2" s="1"/>
  <c r="D199" i="2"/>
  <c r="E199" i="2"/>
  <c r="F199" i="2"/>
  <c r="G199" i="2"/>
  <c r="H199" i="2"/>
  <c r="H206" i="2" s="1"/>
  <c r="I199" i="2"/>
  <c r="I206" i="2" s="1"/>
  <c r="J199" i="2"/>
  <c r="K199" i="2"/>
  <c r="L199" i="2"/>
  <c r="M199" i="2"/>
  <c r="P199" i="2"/>
  <c r="P206" i="2" s="1"/>
  <c r="R199" i="2"/>
  <c r="R206" i="2" s="1"/>
  <c r="S199" i="2"/>
  <c r="T199" i="2"/>
  <c r="U199" i="2"/>
  <c r="V199" i="2"/>
  <c r="W199" i="2"/>
  <c r="W206" i="2" s="1"/>
  <c r="X199" i="2"/>
  <c r="X206" i="2" s="1"/>
  <c r="Y199" i="2"/>
  <c r="Y206" i="2" s="1"/>
  <c r="Z199" i="2"/>
  <c r="AB199" i="2"/>
  <c r="AC199" i="2"/>
  <c r="AF199" i="2"/>
  <c r="AF206" i="2" s="1"/>
  <c r="AH199" i="2"/>
  <c r="AH206" i="2" s="1"/>
  <c r="AI199" i="2"/>
  <c r="AJ199" i="2"/>
  <c r="AK199" i="2"/>
  <c r="AL199" i="2"/>
  <c r="AO199" i="2"/>
  <c r="AO206" i="2" s="1"/>
  <c r="AP199" i="2"/>
  <c r="AR199" i="2"/>
  <c r="AS199" i="2"/>
  <c r="AV199" i="2"/>
  <c r="AV206" i="2" s="1"/>
  <c r="AX199" i="2"/>
  <c r="AX206" i="2" s="1"/>
  <c r="AY199" i="2"/>
  <c r="AZ199" i="2"/>
  <c r="BA199" i="2"/>
  <c r="BE199" i="2"/>
  <c r="BE206" i="2" s="1"/>
  <c r="BF199" i="2"/>
  <c r="BH199" i="2"/>
  <c r="BI199" i="2"/>
  <c r="BR199" i="2"/>
  <c r="BR206" i="2" s="1"/>
  <c r="BT199" i="2"/>
  <c r="BT206" i="2" s="1"/>
  <c r="BU199" i="2"/>
  <c r="BV199" i="2"/>
  <c r="BW199" i="2"/>
  <c r="CA199" i="2"/>
  <c r="CB199" i="2"/>
  <c r="CD199" i="2"/>
  <c r="CE199" i="2"/>
  <c r="H202" i="2"/>
  <c r="I202" i="2"/>
  <c r="J202" i="2"/>
  <c r="K202" i="2"/>
  <c r="L202" i="2"/>
  <c r="M202" i="2"/>
  <c r="N202" i="2"/>
  <c r="O202" i="2"/>
  <c r="P202" i="2"/>
  <c r="Q202" i="2"/>
  <c r="R202" i="2"/>
  <c r="S202" i="2"/>
  <c r="T202" i="2"/>
  <c r="U202" i="2"/>
  <c r="V202" i="2"/>
  <c r="W202" i="2"/>
  <c r="X202" i="2"/>
  <c r="Y202" i="2"/>
  <c r="Z202" i="2"/>
  <c r="AA202" i="2"/>
  <c r="AB202" i="2"/>
  <c r="AC202" i="2"/>
  <c r="AD202" i="2"/>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J202" i="2"/>
  <c r="BR202" i="2"/>
  <c r="BS202" i="2"/>
  <c r="BT202" i="2"/>
  <c r="BU202" i="2"/>
  <c r="BV202" i="2"/>
  <c r="BW202" i="2"/>
  <c r="BX202" i="2"/>
  <c r="BY202" i="2"/>
  <c r="BZ202" i="2"/>
  <c r="CA202" i="2"/>
  <c r="CB202" i="2"/>
  <c r="CC202" i="2"/>
  <c r="CD202" i="2"/>
  <c r="CE202" i="2"/>
  <c r="H203" i="2"/>
  <c r="I203" i="2"/>
  <c r="J203" i="2"/>
  <c r="K203" i="2"/>
  <c r="L203" i="2"/>
  <c r="M203" i="2"/>
  <c r="N203" i="2"/>
  <c r="O203" i="2"/>
  <c r="P203" i="2"/>
  <c r="Q203" i="2"/>
  <c r="R203" i="2"/>
  <c r="S203" i="2"/>
  <c r="T203" i="2"/>
  <c r="U203" i="2"/>
  <c r="V203" i="2"/>
  <c r="W203" i="2"/>
  <c r="X203" i="2"/>
  <c r="Y203" i="2"/>
  <c r="Z203" i="2"/>
  <c r="AA203" i="2"/>
  <c r="AB203" i="2"/>
  <c r="AC203" i="2"/>
  <c r="AD203" i="2"/>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J203" i="2"/>
  <c r="BR203" i="2"/>
  <c r="BS203" i="2"/>
  <c r="BT203" i="2"/>
  <c r="BU203" i="2"/>
  <c r="BV203" i="2"/>
  <c r="BW203" i="2"/>
  <c r="BX203" i="2"/>
  <c r="BY203" i="2"/>
  <c r="BZ203" i="2"/>
  <c r="CA203" i="2"/>
  <c r="CB203" i="2"/>
  <c r="CC203" i="2"/>
  <c r="CD203" i="2"/>
  <c r="CE203" i="2"/>
  <c r="CF203" i="2"/>
  <c r="CG203" i="2"/>
  <c r="H204" i="2"/>
  <c r="I204" i="2"/>
  <c r="J204" i="2"/>
  <c r="K204" i="2"/>
  <c r="L204" i="2"/>
  <c r="M204" i="2"/>
  <c r="O204" i="2"/>
  <c r="Q204" i="2"/>
  <c r="R204" i="2"/>
  <c r="S204" i="2"/>
  <c r="T204" i="2"/>
  <c r="X204" i="2"/>
  <c r="Y204" i="2"/>
  <c r="Z204" i="2"/>
  <c r="AA204" i="2"/>
  <c r="AB204" i="2"/>
  <c r="AC204" i="2"/>
  <c r="AE204" i="2"/>
  <c r="AG204" i="2"/>
  <c r="AH204" i="2"/>
  <c r="AI204" i="2"/>
  <c r="AJ204" i="2"/>
  <c r="AO204" i="2"/>
  <c r="AP204" i="2"/>
  <c r="AS204" i="2"/>
  <c r="AU204" i="2"/>
  <c r="AW204" i="2"/>
  <c r="AX204" i="2"/>
  <c r="AY204" i="2"/>
  <c r="AZ204" i="2"/>
  <c r="BE204" i="2"/>
  <c r="BF204" i="2"/>
  <c r="BI204" i="2"/>
  <c r="BT204" i="2"/>
  <c r="BU204" i="2"/>
  <c r="BV204" i="2"/>
  <c r="BW204" i="2"/>
  <c r="CB204" i="2"/>
  <c r="CC204" i="2"/>
  <c r="CD204" i="2"/>
  <c r="CE204" i="2"/>
  <c r="H205" i="2"/>
  <c r="I205" i="2"/>
  <c r="J205" i="2"/>
  <c r="K205" i="2"/>
  <c r="L205" i="2"/>
  <c r="M205" i="2"/>
  <c r="N205" i="2"/>
  <c r="O205" i="2"/>
  <c r="P205" i="2"/>
  <c r="Q205" i="2"/>
  <c r="R205" i="2"/>
  <c r="S205" i="2"/>
  <c r="T205" i="2"/>
  <c r="U205" i="2"/>
  <c r="V205" i="2"/>
  <c r="W205" i="2"/>
  <c r="X205" i="2"/>
  <c r="Y205" i="2"/>
  <c r="Z205" i="2"/>
  <c r="AA205" i="2"/>
  <c r="AB205" i="2"/>
  <c r="AC205" i="2"/>
  <c r="AD205" i="2"/>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J205" i="2"/>
  <c r="BR205" i="2"/>
  <c r="BS205" i="2"/>
  <c r="BT205" i="2"/>
  <c r="BU205" i="2"/>
  <c r="BV205" i="2"/>
  <c r="BW205" i="2"/>
  <c r="BX205" i="2"/>
  <c r="BY205" i="2"/>
  <c r="BZ205" i="2"/>
  <c r="CA205" i="2"/>
  <c r="CB205" i="2"/>
  <c r="CC205" i="2"/>
  <c r="CD205" i="2"/>
  <c r="CE205" i="2"/>
  <c r="CF205" i="2"/>
  <c r="K206" i="2"/>
  <c r="L206" i="2"/>
  <c r="M206" i="2"/>
  <c r="T206" i="2"/>
  <c r="V206" i="2"/>
  <c r="AB206" i="2"/>
  <c r="AC206" i="2"/>
  <c r="AJ206" i="2"/>
  <c r="AL206" i="2"/>
  <c r="AS206" i="2"/>
  <c r="AZ206" i="2"/>
  <c r="BI206" i="2"/>
  <c r="BV206" i="2"/>
  <c r="BW206" i="2"/>
  <c r="CE206" i="2"/>
  <c r="BB209" i="2"/>
  <c r="CF209" i="2" s="1"/>
  <c r="BC209" i="2"/>
  <c r="BC214" i="2" s="1"/>
  <c r="BD209" i="2"/>
  <c r="BE209" i="2"/>
  <c r="BE211" i="2" s="1"/>
  <c r="BF209" i="2"/>
  <c r="BF211" i="2" s="1"/>
  <c r="BG209" i="2"/>
  <c r="BG211" i="2" s="1"/>
  <c r="BH209" i="2"/>
  <c r="BH211" i="2" s="1"/>
  <c r="BI209" i="2"/>
  <c r="BB210" i="2"/>
  <c r="BC210" i="2"/>
  <c r="BD210" i="2"/>
  <c r="BE210" i="2"/>
  <c r="BI215" i="2" s="1"/>
  <c r="BF210" i="2"/>
  <c r="BF215" i="2" s="1"/>
  <c r="BG210" i="2"/>
  <c r="BG215" i="2" s="1"/>
  <c r="BH210" i="2"/>
  <c r="BH220" i="2" s="1"/>
  <c r="CF210" i="2"/>
  <c r="CF215" i="2" s="1"/>
  <c r="D211" i="2"/>
  <c r="E211" i="2"/>
  <c r="F211" i="2"/>
  <c r="G211" i="2"/>
  <c r="H211" i="2"/>
  <c r="I211" i="2"/>
  <c r="J211" i="2"/>
  <c r="K211" i="2"/>
  <c r="L211" i="2"/>
  <c r="M211" i="2"/>
  <c r="N211" i="2"/>
  <c r="N216" i="2" s="1"/>
  <c r="O211" i="2"/>
  <c r="P211" i="2"/>
  <c r="P221" i="2" s="1"/>
  <c r="Q211" i="2"/>
  <c r="R211" i="2"/>
  <c r="S211" i="2"/>
  <c r="S216" i="2" s="1"/>
  <c r="T211" i="2"/>
  <c r="U211" i="2"/>
  <c r="U216" i="2" s="1"/>
  <c r="V211" i="2"/>
  <c r="V216" i="2" s="1"/>
  <c r="W211" i="2"/>
  <c r="W216" i="2" s="1"/>
  <c r="X211" i="2"/>
  <c r="Y211" i="2"/>
  <c r="Z211" i="2"/>
  <c r="AA211" i="2"/>
  <c r="AB211" i="2"/>
  <c r="AC211" i="2"/>
  <c r="AD211" i="2"/>
  <c r="AD216" i="2" s="1"/>
  <c r="AE211" i="2"/>
  <c r="AF211" i="2"/>
  <c r="AF221" i="2" s="1"/>
  <c r="AG211" i="2"/>
  <c r="AH211" i="2"/>
  <c r="AI211" i="2"/>
  <c r="AI216" i="2" s="1"/>
  <c r="AJ211" i="2"/>
  <c r="AJ216" i="2" s="1"/>
  <c r="AK211" i="2"/>
  <c r="AK216" i="2" s="1"/>
  <c r="AL211" i="2"/>
  <c r="AL216" i="2" s="1"/>
  <c r="AM211" i="2"/>
  <c r="AM216" i="2" s="1"/>
  <c r="AN211" i="2"/>
  <c r="AO211" i="2"/>
  <c r="AP211" i="2"/>
  <c r="AQ211" i="2"/>
  <c r="AR211" i="2"/>
  <c r="AS211" i="2"/>
  <c r="AT211" i="2"/>
  <c r="AT216" i="2" s="1"/>
  <c r="AU211" i="2"/>
  <c r="AV211" i="2"/>
  <c r="AV221" i="2" s="1"/>
  <c r="AW211" i="2"/>
  <c r="AX211" i="2"/>
  <c r="AY211" i="2"/>
  <c r="AY216" i="2" s="1"/>
  <c r="AZ211" i="2"/>
  <c r="AZ216" i="2" s="1"/>
  <c r="BA211" i="2"/>
  <c r="BA216" i="2" s="1"/>
  <c r="BB211" i="2"/>
  <c r="BB216" i="2" s="1"/>
  <c r="BC211" i="2"/>
  <c r="BC216" i="2" s="1"/>
  <c r="BD211" i="2"/>
  <c r="BJ211" i="2"/>
  <c r="BQ211" i="2"/>
  <c r="BR211" i="2"/>
  <c r="BR221" i="2" s="1"/>
  <c r="BS211" i="2"/>
  <c r="BT211" i="2"/>
  <c r="BU211" i="2"/>
  <c r="BV211" i="2"/>
  <c r="BV216" i="2" s="1"/>
  <c r="BW211" i="2"/>
  <c r="BW216" i="2" s="1"/>
  <c r="BX211" i="2"/>
  <c r="BX216" i="2" s="1"/>
  <c r="BY211" i="2"/>
  <c r="BY216" i="2" s="1"/>
  <c r="BZ211" i="2"/>
  <c r="CA211" i="2"/>
  <c r="CB211" i="2"/>
  <c r="CC211" i="2"/>
  <c r="CD211" i="2"/>
  <c r="CE211" i="2"/>
  <c r="CF211" i="2"/>
  <c r="CF216" i="2" s="1"/>
  <c r="H214" i="2"/>
  <c r="I214" i="2"/>
  <c r="J214" i="2"/>
  <c r="K214" i="2"/>
  <c r="L214" i="2"/>
  <c r="M214" i="2"/>
  <c r="N214" i="2"/>
  <c r="O214" i="2"/>
  <c r="P214" i="2"/>
  <c r="Q214" i="2"/>
  <c r="R214" i="2"/>
  <c r="S214" i="2"/>
  <c r="T214" i="2"/>
  <c r="U214" i="2"/>
  <c r="V214" i="2"/>
  <c r="W214" i="2"/>
  <c r="X214" i="2"/>
  <c r="Y214" i="2"/>
  <c r="Z214" i="2"/>
  <c r="AA214" i="2"/>
  <c r="AB214" i="2"/>
  <c r="AC214" i="2"/>
  <c r="AD214" i="2"/>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D214" i="2"/>
  <c r="BE214" i="2"/>
  <c r="BF214" i="2"/>
  <c r="BJ214" i="2"/>
  <c r="BR214" i="2"/>
  <c r="BS214" i="2"/>
  <c r="BT214" i="2"/>
  <c r="BU214" i="2"/>
  <c r="BV214" i="2"/>
  <c r="BW214" i="2"/>
  <c r="BX214" i="2"/>
  <c r="BY214" i="2"/>
  <c r="BZ214" i="2"/>
  <c r="CA214" i="2"/>
  <c r="CB214" i="2"/>
  <c r="CC214" i="2"/>
  <c r="CD214" i="2"/>
  <c r="CE214" i="2"/>
  <c r="H215" i="2"/>
  <c r="I215" i="2"/>
  <c r="J215" i="2"/>
  <c r="K215" i="2"/>
  <c r="L215" i="2"/>
  <c r="M215" i="2"/>
  <c r="N215" i="2"/>
  <c r="O215" i="2"/>
  <c r="P215" i="2"/>
  <c r="Q215" i="2"/>
  <c r="R215" i="2"/>
  <c r="S215" i="2"/>
  <c r="T215" i="2"/>
  <c r="U215" i="2"/>
  <c r="V215" i="2"/>
  <c r="W215" i="2"/>
  <c r="X215" i="2"/>
  <c r="Y215" i="2"/>
  <c r="Z215" i="2"/>
  <c r="AA215" i="2"/>
  <c r="AB215" i="2"/>
  <c r="AC215" i="2"/>
  <c r="AD215" i="2"/>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J215" i="2"/>
  <c r="BR215" i="2"/>
  <c r="BS215" i="2"/>
  <c r="BT215" i="2"/>
  <c r="BU215" i="2"/>
  <c r="BV215" i="2"/>
  <c r="BW215" i="2"/>
  <c r="BX215" i="2"/>
  <c r="BY215" i="2"/>
  <c r="BZ215" i="2"/>
  <c r="CA215" i="2"/>
  <c r="CB215" i="2"/>
  <c r="CC215" i="2"/>
  <c r="CD215" i="2"/>
  <c r="CE215" i="2"/>
  <c r="I216" i="2"/>
  <c r="J216" i="2"/>
  <c r="K216" i="2"/>
  <c r="M216" i="2"/>
  <c r="O216" i="2"/>
  <c r="P216" i="2"/>
  <c r="Q216" i="2"/>
  <c r="R216" i="2"/>
  <c r="Y216" i="2"/>
  <c r="Z216" i="2"/>
  <c r="AA216" i="2"/>
  <c r="AC216" i="2"/>
  <c r="AE216" i="2"/>
  <c r="AF216" i="2"/>
  <c r="AG216" i="2"/>
  <c r="AH216" i="2"/>
  <c r="AO216" i="2"/>
  <c r="AP216" i="2"/>
  <c r="AQ216" i="2"/>
  <c r="AS216" i="2"/>
  <c r="AU216" i="2"/>
  <c r="AV216" i="2"/>
  <c r="AW216" i="2"/>
  <c r="AX216" i="2"/>
  <c r="BS216" i="2"/>
  <c r="BT216" i="2"/>
  <c r="BU216" i="2"/>
  <c r="CB216" i="2"/>
  <c r="CC216" i="2"/>
  <c r="CD216" i="2"/>
  <c r="CE216" i="2"/>
  <c r="D219" i="2"/>
  <c r="E219" i="2"/>
  <c r="F219" i="2"/>
  <c r="G219" i="2"/>
  <c r="H219" i="2"/>
  <c r="I219" i="2"/>
  <c r="J219" i="2"/>
  <c r="K219" i="2"/>
  <c r="L219" i="2"/>
  <c r="M219" i="2"/>
  <c r="N219" i="2"/>
  <c r="O219" i="2"/>
  <c r="P219" i="2"/>
  <c r="Q219" i="2"/>
  <c r="R219" i="2"/>
  <c r="S219" i="2"/>
  <c r="T219" i="2"/>
  <c r="U219" i="2"/>
  <c r="V219" i="2"/>
  <c r="W219" i="2"/>
  <c r="X219" i="2"/>
  <c r="Y219" i="2"/>
  <c r="Z219" i="2"/>
  <c r="AA219" i="2"/>
  <c r="AB219" i="2"/>
  <c r="AC219" i="2"/>
  <c r="AD219" i="2"/>
  <c r="AE219" i="2"/>
  <c r="AF219" i="2"/>
  <c r="AG219" i="2"/>
  <c r="AH219" i="2"/>
  <c r="AI219" i="2"/>
  <c r="AJ219" i="2"/>
  <c r="AK219" i="2"/>
  <c r="AL219" i="2"/>
  <c r="AM219" i="2"/>
  <c r="AO219" i="2"/>
  <c r="AP219" i="2"/>
  <c r="AQ219" i="2"/>
  <c r="AR219" i="2"/>
  <c r="AS219" i="2"/>
  <c r="AT219" i="2"/>
  <c r="AU219" i="2"/>
  <c r="AV219" i="2"/>
  <c r="AW219" i="2"/>
  <c r="AX219" i="2"/>
  <c r="AY219" i="2"/>
  <c r="AZ219" i="2"/>
  <c r="BA219" i="2"/>
  <c r="BB219" i="2"/>
  <c r="BC219" i="2"/>
  <c r="BE219" i="2"/>
  <c r="BJ219" i="2"/>
  <c r="BQ219" i="2"/>
  <c r="BR219" i="2"/>
  <c r="BS219" i="2"/>
  <c r="BT219" i="2"/>
  <c r="BU219" i="2"/>
  <c r="BV219" i="2"/>
  <c r="BW219" i="2"/>
  <c r="BX219" i="2"/>
  <c r="BY219" i="2"/>
  <c r="CA219" i="2"/>
  <c r="CB219" i="2"/>
  <c r="CC219" i="2"/>
  <c r="CD219" i="2"/>
  <c r="CE219" i="2"/>
  <c r="D220" i="2"/>
  <c r="E220" i="2"/>
  <c r="F220" i="2"/>
  <c r="G220" i="2"/>
  <c r="H220" i="2"/>
  <c r="I220" i="2"/>
  <c r="J220" i="2"/>
  <c r="K220" i="2"/>
  <c r="L220" i="2"/>
  <c r="M220" i="2"/>
  <c r="N220" i="2"/>
  <c r="O220" i="2"/>
  <c r="P220" i="2"/>
  <c r="Q220" i="2"/>
  <c r="R220" i="2"/>
  <c r="S220" i="2"/>
  <c r="T220" i="2"/>
  <c r="U220" i="2"/>
  <c r="V220" i="2"/>
  <c r="W220" i="2"/>
  <c r="X220" i="2"/>
  <c r="Y220" i="2"/>
  <c r="Z220" i="2"/>
  <c r="AA220" i="2"/>
  <c r="AB220" i="2"/>
  <c r="AC220" i="2"/>
  <c r="AD220" i="2"/>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BF220" i="2"/>
  <c r="BG220" i="2"/>
  <c r="BI220" i="2"/>
  <c r="BJ220" i="2"/>
  <c r="BQ220" i="2"/>
  <c r="BR220" i="2"/>
  <c r="BS220" i="2"/>
  <c r="BT220" i="2"/>
  <c r="BU220" i="2"/>
  <c r="BV220" i="2"/>
  <c r="BW220" i="2"/>
  <c r="BX220" i="2"/>
  <c r="BY220" i="2"/>
  <c r="BZ220" i="2"/>
  <c r="CA220" i="2"/>
  <c r="CB220" i="2"/>
  <c r="CC220" i="2"/>
  <c r="CD220" i="2"/>
  <c r="CE220" i="2"/>
  <c r="CF220" i="2"/>
  <c r="D221" i="2"/>
  <c r="E221" i="2"/>
  <c r="F221" i="2"/>
  <c r="G221" i="2"/>
  <c r="I221" i="2"/>
  <c r="K221" i="2"/>
  <c r="L221" i="2"/>
  <c r="M221" i="2"/>
  <c r="O221" i="2"/>
  <c r="R221" i="2"/>
  <c r="S221" i="2"/>
  <c r="T221" i="2"/>
  <c r="U221" i="2"/>
  <c r="V221" i="2"/>
  <c r="W221" i="2"/>
  <c r="Y221" i="2"/>
  <c r="AB221" i="2"/>
  <c r="AC221" i="2"/>
  <c r="AE221" i="2"/>
  <c r="AH221" i="2"/>
  <c r="AI221" i="2"/>
  <c r="AJ221" i="2"/>
  <c r="AK221" i="2"/>
  <c r="AL221" i="2"/>
  <c r="AO221" i="2"/>
  <c r="AR221" i="2"/>
  <c r="AS221" i="2"/>
  <c r="AU221" i="2"/>
  <c r="AX221" i="2"/>
  <c r="AY221" i="2"/>
  <c r="AZ221" i="2"/>
  <c r="BA221" i="2"/>
  <c r="BQ221" i="2"/>
  <c r="BT221" i="2"/>
  <c r="BU221" i="2"/>
  <c r="BV221" i="2"/>
  <c r="BW221" i="2"/>
  <c r="CA221" i="2"/>
  <c r="CD221" i="2"/>
  <c r="CE221" i="2"/>
  <c r="BT224" i="2"/>
  <c r="BU224" i="2"/>
  <c r="BV224" i="2"/>
  <c r="BW224" i="2"/>
  <c r="BW231" i="2" s="1"/>
  <c r="BX224" i="2"/>
  <c r="BX231" i="2" s="1"/>
  <c r="BY224" i="2"/>
  <c r="BY231" i="2" s="1"/>
  <c r="BZ224" i="2"/>
  <c r="BZ231" i="2" s="1"/>
  <c r="CA224" i="2"/>
  <c r="CA231" i="2" s="1"/>
  <c r="CB224" i="2"/>
  <c r="CC231" i="2" s="1"/>
  <c r="CC224" i="2"/>
  <c r="CD224" i="2"/>
  <c r="CD228" i="2" s="1"/>
  <c r="CD235" i="2" s="1"/>
  <c r="CE224" i="2"/>
  <c r="CE228" i="2" s="1"/>
  <c r="CE235" i="2" s="1"/>
  <c r="CF224" i="2"/>
  <c r="CF228" i="2" s="1"/>
  <c r="CG224" i="2"/>
  <c r="CG228" i="2" s="1"/>
  <c r="CG235" i="2" s="1"/>
  <c r="BT225" i="2"/>
  <c r="BT232" i="2" s="1"/>
  <c r="BU225" i="2"/>
  <c r="BV225" i="2"/>
  <c r="BW225" i="2"/>
  <c r="BX225" i="2"/>
  <c r="BY225" i="2"/>
  <c r="BZ225" i="2"/>
  <c r="CA225" i="2"/>
  <c r="CA232" i="2" s="1"/>
  <c r="CB225" i="2"/>
  <c r="CC225" i="2"/>
  <c r="CD232" i="2" s="1"/>
  <c r="CD225" i="2"/>
  <c r="CE225" i="2"/>
  <c r="CF225" i="2"/>
  <c r="CF232" i="2" s="1"/>
  <c r="CG225" i="2"/>
  <c r="CG232" i="2" s="1"/>
  <c r="BT226" i="2"/>
  <c r="BT233" i="2" s="1"/>
  <c r="BU226" i="2"/>
  <c r="BU233" i="2" s="1"/>
  <c r="BV226" i="2"/>
  <c r="BV228" i="2" s="1"/>
  <c r="BW226" i="2"/>
  <c r="BX226" i="2"/>
  <c r="BY226" i="2"/>
  <c r="BY233" i="2" s="1"/>
  <c r="BZ226" i="2"/>
  <c r="CA226" i="2"/>
  <c r="CB226" i="2"/>
  <c r="CC226" i="2"/>
  <c r="CC233" i="2" s="1"/>
  <c r="CD226" i="2"/>
  <c r="CE226" i="2"/>
  <c r="CE233" i="2" s="1"/>
  <c r="CF226" i="2"/>
  <c r="CG226" i="2"/>
  <c r="BT227" i="2"/>
  <c r="BT234" i="2" s="1"/>
  <c r="BU227" i="2"/>
  <c r="BU234" i="2" s="1"/>
  <c r="BV227" i="2"/>
  <c r="BV234" i="2" s="1"/>
  <c r="BW227" i="2"/>
  <c r="BX227" i="2"/>
  <c r="BX234" i="2" s="1"/>
  <c r="BY227" i="2"/>
  <c r="BZ227" i="2"/>
  <c r="CA227" i="2"/>
  <c r="CB227" i="2"/>
  <c r="CC227" i="2"/>
  <c r="CD227" i="2"/>
  <c r="CE227" i="2"/>
  <c r="CF234" i="2" s="1"/>
  <c r="CF227" i="2"/>
  <c r="CG227" i="2"/>
  <c r="D228" i="2"/>
  <c r="BT228" i="2" s="1"/>
  <c r="E228" i="2"/>
  <c r="F228" i="2"/>
  <c r="G228" i="2"/>
  <c r="H228" i="2"/>
  <c r="H235" i="2" s="1"/>
  <c r="I228" i="2"/>
  <c r="I235" i="2" s="1"/>
  <c r="J228" i="2"/>
  <c r="J235" i="2" s="1"/>
  <c r="K228" i="2"/>
  <c r="L228" i="2"/>
  <c r="M228" i="2"/>
  <c r="N228" i="2"/>
  <c r="O228" i="2"/>
  <c r="P228" i="2"/>
  <c r="Q228" i="2"/>
  <c r="Q242" i="2" s="1"/>
  <c r="R228" i="2"/>
  <c r="S228" i="2"/>
  <c r="S242" i="2" s="1"/>
  <c r="T228" i="2"/>
  <c r="U228" i="2"/>
  <c r="V228" i="2"/>
  <c r="W228" i="2"/>
  <c r="X228" i="2"/>
  <c r="X235" i="2" s="1"/>
  <c r="Y228" i="2"/>
  <c r="Y235" i="2" s="1"/>
  <c r="Z228" i="2"/>
  <c r="Z235" i="2" s="1"/>
  <c r="AA228" i="2"/>
  <c r="AB228" i="2"/>
  <c r="AC228" i="2"/>
  <c r="AD228" i="2"/>
  <c r="AE228" i="2"/>
  <c r="AF228" i="2"/>
  <c r="AG228" i="2"/>
  <c r="AG235" i="2" s="1"/>
  <c r="AH228" i="2"/>
  <c r="AI228" i="2"/>
  <c r="AI235" i="2" s="1"/>
  <c r="AJ228" i="2"/>
  <c r="AK228" i="2"/>
  <c r="AL228" i="2"/>
  <c r="AM228" i="2"/>
  <c r="AN228" i="2"/>
  <c r="AN235" i="2" s="1"/>
  <c r="AO228" i="2"/>
  <c r="AO235" i="2" s="1"/>
  <c r="AP228" i="2"/>
  <c r="AP235" i="2" s="1"/>
  <c r="AQ228" i="2"/>
  <c r="AR228" i="2"/>
  <c r="AS228" i="2"/>
  <c r="AT228" i="2"/>
  <c r="AU228" i="2"/>
  <c r="AV228" i="2"/>
  <c r="AW228" i="2"/>
  <c r="AW235" i="2" s="1"/>
  <c r="AX228" i="2"/>
  <c r="AY228" i="2"/>
  <c r="AY235" i="2" s="1"/>
  <c r="AZ228" i="2"/>
  <c r="BA228" i="2"/>
  <c r="BB228" i="2"/>
  <c r="BC228" i="2"/>
  <c r="BD228" i="2"/>
  <c r="BD235" i="2" s="1"/>
  <c r="BE228" i="2"/>
  <c r="BE235" i="2" s="1"/>
  <c r="BF228" i="2"/>
  <c r="BF235" i="2" s="1"/>
  <c r="BG228" i="2"/>
  <c r="BG235" i="2" s="1"/>
  <c r="BH228" i="2"/>
  <c r="BI228" i="2"/>
  <c r="BJ228" i="2"/>
  <c r="BQ228" i="2"/>
  <c r="BR228" i="2"/>
  <c r="BS228" i="2"/>
  <c r="BS242" i="2" s="1"/>
  <c r="BS249" i="2" s="1"/>
  <c r="BZ228" i="2"/>
  <c r="CB228" i="2"/>
  <c r="CC228" i="2"/>
  <c r="CC235" i="2" s="1"/>
  <c r="H231" i="2"/>
  <c r="I231" i="2"/>
  <c r="J231" i="2"/>
  <c r="K231" i="2"/>
  <c r="L231" i="2"/>
  <c r="M231" i="2"/>
  <c r="N231" i="2"/>
  <c r="O231" i="2"/>
  <c r="P231" i="2"/>
  <c r="Q231" i="2"/>
  <c r="R231" i="2"/>
  <c r="S231" i="2"/>
  <c r="T231" i="2"/>
  <c r="U231" i="2"/>
  <c r="V231" i="2"/>
  <c r="W231" i="2"/>
  <c r="X231" i="2"/>
  <c r="Y231" i="2"/>
  <c r="Z231" i="2"/>
  <c r="AA231" i="2"/>
  <c r="AB231" i="2"/>
  <c r="AC231" i="2"/>
  <c r="AD231" i="2"/>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J231" i="2"/>
  <c r="BR231" i="2"/>
  <c r="BS231" i="2"/>
  <c r="BT231" i="2"/>
  <c r="BU231" i="2"/>
  <c r="BV231" i="2"/>
  <c r="CB231" i="2"/>
  <c r="CD231" i="2"/>
  <c r="CE231" i="2"/>
  <c r="H232" i="2"/>
  <c r="I232" i="2"/>
  <c r="J232" i="2"/>
  <c r="K232" i="2"/>
  <c r="L232" i="2"/>
  <c r="M232" i="2"/>
  <c r="N232" i="2"/>
  <c r="O232" i="2"/>
  <c r="P232" i="2"/>
  <c r="Q232" i="2"/>
  <c r="R232" i="2"/>
  <c r="S232" i="2"/>
  <c r="T232" i="2"/>
  <c r="U232" i="2"/>
  <c r="V232" i="2"/>
  <c r="W232" i="2"/>
  <c r="X232" i="2"/>
  <c r="Y232" i="2"/>
  <c r="Z232" i="2"/>
  <c r="AA232" i="2"/>
  <c r="AB232" i="2"/>
  <c r="AC232" i="2"/>
  <c r="AD232" i="2"/>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J232" i="2"/>
  <c r="BR232" i="2"/>
  <c r="BS232" i="2"/>
  <c r="BW232" i="2"/>
  <c r="BX232" i="2"/>
  <c r="BY232" i="2"/>
  <c r="BZ232" i="2"/>
  <c r="CC232" i="2"/>
  <c r="CE232" i="2"/>
  <c r="H233" i="2"/>
  <c r="I233" i="2"/>
  <c r="J233" i="2"/>
  <c r="K233" i="2"/>
  <c r="L233" i="2"/>
  <c r="M233" i="2"/>
  <c r="N233" i="2"/>
  <c r="O233" i="2"/>
  <c r="P233" i="2"/>
  <c r="Q233" i="2"/>
  <c r="R233" i="2"/>
  <c r="S233" i="2"/>
  <c r="T233" i="2"/>
  <c r="U233" i="2"/>
  <c r="V233" i="2"/>
  <c r="W233" i="2"/>
  <c r="X233" i="2"/>
  <c r="Y233" i="2"/>
  <c r="Z233" i="2"/>
  <c r="AA233" i="2"/>
  <c r="AB233" i="2"/>
  <c r="AC233" i="2"/>
  <c r="AD233" i="2"/>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J233" i="2"/>
  <c r="BR233" i="2"/>
  <c r="BS233" i="2"/>
  <c r="BV233" i="2"/>
  <c r="BX233" i="2"/>
  <c r="BZ233" i="2"/>
  <c r="CA233" i="2"/>
  <c r="CB233" i="2"/>
  <c r="CD233" i="2"/>
  <c r="CF233" i="2"/>
  <c r="CG233" i="2"/>
  <c r="H234" i="2"/>
  <c r="I234" i="2"/>
  <c r="J234" i="2"/>
  <c r="K234" i="2"/>
  <c r="L234" i="2"/>
  <c r="M234" i="2"/>
  <c r="N234" i="2"/>
  <c r="O234" i="2"/>
  <c r="P234" i="2"/>
  <c r="Q234" i="2"/>
  <c r="R234" i="2"/>
  <c r="S234" i="2"/>
  <c r="T234" i="2"/>
  <c r="U234" i="2"/>
  <c r="V234" i="2"/>
  <c r="W234" i="2"/>
  <c r="X234" i="2"/>
  <c r="Y234" i="2"/>
  <c r="Z234" i="2"/>
  <c r="AA234" i="2"/>
  <c r="AB234" i="2"/>
  <c r="AC234" i="2"/>
  <c r="AD234" i="2"/>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J234" i="2"/>
  <c r="BR234" i="2"/>
  <c r="BS234" i="2"/>
  <c r="BW234" i="2"/>
  <c r="CA234" i="2"/>
  <c r="CB234" i="2"/>
  <c r="CC234" i="2"/>
  <c r="CD234" i="2"/>
  <c r="CE234" i="2"/>
  <c r="CG234" i="2"/>
  <c r="M235" i="2"/>
  <c r="P235" i="2"/>
  <c r="R235" i="2"/>
  <c r="T235" i="2"/>
  <c r="U235" i="2"/>
  <c r="V235" i="2"/>
  <c r="W235" i="2"/>
  <c r="AC235" i="2"/>
  <c r="AF235" i="2"/>
  <c r="AH235" i="2"/>
  <c r="AJ235" i="2"/>
  <c r="AK235" i="2"/>
  <c r="AL235" i="2"/>
  <c r="AM235" i="2"/>
  <c r="AS235" i="2"/>
  <c r="AV235" i="2"/>
  <c r="AX235" i="2"/>
  <c r="AZ235" i="2"/>
  <c r="BA235" i="2"/>
  <c r="BB235" i="2"/>
  <c r="BC235" i="2"/>
  <c r="BI235" i="2"/>
  <c r="BR235" i="2"/>
  <c r="AI238" i="2"/>
  <c r="AI244" i="2" s="1"/>
  <c r="CB238" i="2"/>
  <c r="CC238" i="2"/>
  <c r="CC245" i="2" s="1"/>
  <c r="CD238" i="2"/>
  <c r="CD245" i="2" s="1"/>
  <c r="CE238" i="2"/>
  <c r="CE242" i="2" s="1"/>
  <c r="CF238" i="2"/>
  <c r="CF242" i="2" s="1"/>
  <c r="CF249" i="2" s="1"/>
  <c r="CG238" i="2"/>
  <c r="CG242" i="2" s="1"/>
  <c r="AI239" i="2"/>
  <c r="CB239" i="2"/>
  <c r="CC239" i="2"/>
  <c r="CD239" i="2"/>
  <c r="CE239" i="2"/>
  <c r="CF239" i="2"/>
  <c r="CF246" i="2" s="1"/>
  <c r="CG239" i="2"/>
  <c r="AI240" i="2"/>
  <c r="CA240" i="2" s="1"/>
  <c r="CA247" i="2" s="1"/>
  <c r="CB240" i="2"/>
  <c r="CC240" i="2"/>
  <c r="CC247" i="2" s="1"/>
  <c r="CD240" i="2"/>
  <c r="CD247" i="2" s="1"/>
  <c r="CE240" i="2"/>
  <c r="CE247" i="2" s="1"/>
  <c r="CF240" i="2"/>
  <c r="CF247" i="2" s="1"/>
  <c r="CG240" i="2"/>
  <c r="CG247" i="2" s="1"/>
  <c r="AI241" i="2"/>
  <c r="CB241" i="2"/>
  <c r="CC241" i="2"/>
  <c r="CD241" i="2"/>
  <c r="CE241" i="2"/>
  <c r="CF241" i="2"/>
  <c r="CF248" i="2" s="1"/>
  <c r="CG241" i="2"/>
  <c r="D242" i="2"/>
  <c r="E242" i="2"/>
  <c r="F242" i="2"/>
  <c r="G242" i="2"/>
  <c r="H242" i="2"/>
  <c r="I242" i="2"/>
  <c r="M249" i="2" s="1"/>
  <c r="J242" i="2"/>
  <c r="J249" i="2" s="1"/>
  <c r="L242" i="2"/>
  <c r="M242" i="2"/>
  <c r="N242" i="2"/>
  <c r="O242" i="2"/>
  <c r="P242" i="2"/>
  <c r="R242" i="2"/>
  <c r="T242" i="2"/>
  <c r="T249" i="2" s="1"/>
  <c r="U242" i="2"/>
  <c r="V242" i="2"/>
  <c r="W242" i="2"/>
  <c r="X242" i="2"/>
  <c r="Y242" i="2"/>
  <c r="AC249" i="2" s="1"/>
  <c r="Z242" i="2"/>
  <c r="Z249" i="2" s="1"/>
  <c r="AB242" i="2"/>
  <c r="AC242" i="2"/>
  <c r="AD242" i="2"/>
  <c r="AE242" i="2"/>
  <c r="AF242" i="2"/>
  <c r="AG242" i="2"/>
  <c r="AH242" i="2"/>
  <c r="AJ242" i="2"/>
  <c r="AJ243" i="2" s="1"/>
  <c r="AK242" i="2"/>
  <c r="AK243" i="2" s="1"/>
  <c r="AL242" i="2"/>
  <c r="AM242" i="2"/>
  <c r="AM243" i="2" s="1"/>
  <c r="AN242" i="2"/>
  <c r="AO242" i="2"/>
  <c r="AS249" i="2" s="1"/>
  <c r="AP242" i="2"/>
  <c r="AP249" i="2" s="1"/>
  <c r="AQ242" i="2"/>
  <c r="AQ249" i="2" s="1"/>
  <c r="AR242" i="2"/>
  <c r="AS242" i="2"/>
  <c r="AT242" i="2"/>
  <c r="AU242" i="2"/>
  <c r="AV242" i="2"/>
  <c r="AW242" i="2"/>
  <c r="AW243" i="2" s="1"/>
  <c r="AX242" i="2"/>
  <c r="AX243" i="2" s="1"/>
  <c r="AY242" i="2"/>
  <c r="AY243" i="2" s="1"/>
  <c r="AZ242" i="2"/>
  <c r="AZ243" i="2" s="1"/>
  <c r="BA242" i="2"/>
  <c r="BA243" i="2" s="1"/>
  <c r="BB242" i="2"/>
  <c r="BC242" i="2"/>
  <c r="BC243" i="2" s="1"/>
  <c r="BD242" i="2"/>
  <c r="BE242" i="2"/>
  <c r="BI249" i="2" s="1"/>
  <c r="BF242" i="2"/>
  <c r="BF249" i="2" s="1"/>
  <c r="BG242" i="2"/>
  <c r="BG249" i="2" s="1"/>
  <c r="BH242" i="2"/>
  <c r="BI242" i="2"/>
  <c r="BJ242" i="2"/>
  <c r="BQ242" i="2"/>
  <c r="BR242" i="2"/>
  <c r="BZ242" i="2"/>
  <c r="CB242" i="2"/>
  <c r="CC242" i="2"/>
  <c r="CC249" i="2" s="1"/>
  <c r="CD242" i="2"/>
  <c r="CD249" i="2" s="1"/>
  <c r="AL243" i="2"/>
  <c r="AN243" i="2"/>
  <c r="AS243" i="2"/>
  <c r="AT243" i="2"/>
  <c r="AU243" i="2"/>
  <c r="AV243" i="2"/>
  <c r="BB243" i="2"/>
  <c r="BD243" i="2"/>
  <c r="BI243" i="2"/>
  <c r="BJ243" i="2"/>
  <c r="AF244" i="2"/>
  <c r="AG244" i="2"/>
  <c r="AH244" i="2"/>
  <c r="AK244" i="2"/>
  <c r="AL244" i="2"/>
  <c r="AM244" i="2"/>
  <c r="AN244" i="2"/>
  <c r="AO244" i="2"/>
  <c r="AP244" i="2"/>
  <c r="AQ244" i="2"/>
  <c r="AR244" i="2"/>
  <c r="AS244" i="2"/>
  <c r="AT244" i="2"/>
  <c r="AU244" i="2"/>
  <c r="AV244" i="2"/>
  <c r="AW244" i="2"/>
  <c r="AX244" i="2"/>
  <c r="AY244" i="2"/>
  <c r="AZ244" i="2"/>
  <c r="BA244" i="2"/>
  <c r="BB244" i="2"/>
  <c r="BC244" i="2"/>
  <c r="BD244" i="2"/>
  <c r="BE244" i="2"/>
  <c r="BF244" i="2"/>
  <c r="BG244" i="2"/>
  <c r="BH244" i="2"/>
  <c r="BI244" i="2"/>
  <c r="BJ244" i="2"/>
  <c r="CL244" i="2"/>
  <c r="H245" i="2"/>
  <c r="I245" i="2"/>
  <c r="J245" i="2"/>
  <c r="K245" i="2"/>
  <c r="L245" i="2"/>
  <c r="M245" i="2"/>
  <c r="N245" i="2"/>
  <c r="O245" i="2"/>
  <c r="P245" i="2"/>
  <c r="Q245" i="2"/>
  <c r="R245" i="2"/>
  <c r="S245" i="2"/>
  <c r="T245" i="2"/>
  <c r="U245" i="2"/>
  <c r="V245" i="2"/>
  <c r="W245" i="2"/>
  <c r="X245" i="2"/>
  <c r="Y245" i="2"/>
  <c r="Z245" i="2"/>
  <c r="AA245" i="2"/>
  <c r="AB245" i="2"/>
  <c r="AC245" i="2"/>
  <c r="AD245" i="2"/>
  <c r="AE245" i="2"/>
  <c r="AF245" i="2"/>
  <c r="AG245" i="2"/>
  <c r="AH245" i="2"/>
  <c r="AJ245" i="2"/>
  <c r="AK245" i="2"/>
  <c r="AL245" i="2"/>
  <c r="AM245" i="2"/>
  <c r="AN245" i="2"/>
  <c r="AO245" i="2"/>
  <c r="AP245" i="2"/>
  <c r="AQ245" i="2"/>
  <c r="AR245" i="2"/>
  <c r="AS245" i="2"/>
  <c r="AT245" i="2"/>
  <c r="AU245" i="2"/>
  <c r="AV245" i="2"/>
  <c r="AW245" i="2"/>
  <c r="AX245" i="2"/>
  <c r="AY245" i="2"/>
  <c r="AZ245" i="2"/>
  <c r="BA245" i="2"/>
  <c r="BB245" i="2"/>
  <c r="BC245" i="2"/>
  <c r="BD245" i="2"/>
  <c r="BE245" i="2"/>
  <c r="BF245" i="2"/>
  <c r="BG245" i="2"/>
  <c r="BH245" i="2"/>
  <c r="BI245" i="2"/>
  <c r="BJ245" i="2"/>
  <c r="BR245" i="2"/>
  <c r="BS245" i="2"/>
  <c r="BT245" i="2"/>
  <c r="BU245" i="2"/>
  <c r="BV245" i="2"/>
  <c r="BW245" i="2"/>
  <c r="BX245" i="2"/>
  <c r="BY245" i="2"/>
  <c r="BZ245" i="2"/>
  <c r="CL245" i="2"/>
  <c r="H246" i="2"/>
  <c r="I246" i="2"/>
  <c r="J246" i="2"/>
  <c r="K246" i="2"/>
  <c r="L246" i="2"/>
  <c r="M246" i="2"/>
  <c r="N246" i="2"/>
  <c r="O246" i="2"/>
  <c r="P246" i="2"/>
  <c r="Q246" i="2"/>
  <c r="R246" i="2"/>
  <c r="S246" i="2"/>
  <c r="T246" i="2"/>
  <c r="U246" i="2"/>
  <c r="V246" i="2"/>
  <c r="W246" i="2"/>
  <c r="X246" i="2"/>
  <c r="Y246" i="2"/>
  <c r="Z246" i="2"/>
  <c r="AA246" i="2"/>
  <c r="AB246" i="2"/>
  <c r="AC246" i="2"/>
  <c r="AD246" i="2"/>
  <c r="AE246" i="2"/>
  <c r="AF246" i="2"/>
  <c r="AG246" i="2"/>
  <c r="AH246" i="2"/>
  <c r="AJ246" i="2"/>
  <c r="AK246" i="2"/>
  <c r="AL246" i="2"/>
  <c r="AN246" i="2"/>
  <c r="AO246" i="2"/>
  <c r="AP246" i="2"/>
  <c r="AQ246" i="2"/>
  <c r="AR246" i="2"/>
  <c r="AS246" i="2"/>
  <c r="AT246" i="2"/>
  <c r="AU246" i="2"/>
  <c r="AV246" i="2"/>
  <c r="AW246" i="2"/>
  <c r="AX246" i="2"/>
  <c r="AY246" i="2"/>
  <c r="AZ246" i="2"/>
  <c r="BA246" i="2"/>
  <c r="BB246" i="2"/>
  <c r="BC246" i="2"/>
  <c r="BD246" i="2"/>
  <c r="BE246" i="2"/>
  <c r="BF246" i="2"/>
  <c r="BG246" i="2"/>
  <c r="BH246" i="2"/>
  <c r="BI246" i="2"/>
  <c r="BJ246" i="2"/>
  <c r="BR246" i="2"/>
  <c r="BS246" i="2"/>
  <c r="BT246" i="2"/>
  <c r="BU246" i="2"/>
  <c r="BV246" i="2"/>
  <c r="BW246" i="2"/>
  <c r="BX246" i="2"/>
  <c r="BY246" i="2"/>
  <c r="BZ246" i="2"/>
  <c r="CC246" i="2"/>
  <c r="CD246" i="2"/>
  <c r="CE246" i="2"/>
  <c r="CL246" i="2"/>
  <c r="H247" i="2"/>
  <c r="I247" i="2"/>
  <c r="J247" i="2"/>
  <c r="K247" i="2"/>
  <c r="L247" i="2"/>
  <c r="M247" i="2"/>
  <c r="N247" i="2"/>
  <c r="O247" i="2"/>
  <c r="P247" i="2"/>
  <c r="Q247" i="2"/>
  <c r="R247" i="2"/>
  <c r="S247" i="2"/>
  <c r="T247" i="2"/>
  <c r="U247" i="2"/>
  <c r="V247" i="2"/>
  <c r="W247" i="2"/>
  <c r="X247" i="2"/>
  <c r="Y247" i="2"/>
  <c r="Z247" i="2"/>
  <c r="AA247" i="2"/>
  <c r="AB247" i="2"/>
  <c r="AC247" i="2"/>
  <c r="AD247" i="2"/>
  <c r="AE247" i="2"/>
  <c r="AF247" i="2"/>
  <c r="AG247" i="2"/>
  <c r="AH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I247" i="2"/>
  <c r="BJ247" i="2"/>
  <c r="BR247" i="2"/>
  <c r="BS247" i="2"/>
  <c r="BT247" i="2"/>
  <c r="BU247" i="2"/>
  <c r="BV247" i="2"/>
  <c r="BW247" i="2"/>
  <c r="BX247" i="2"/>
  <c r="BY247" i="2"/>
  <c r="BZ247" i="2"/>
  <c r="CL247" i="2"/>
  <c r="H248" i="2"/>
  <c r="I248" i="2"/>
  <c r="J248" i="2"/>
  <c r="K248" i="2"/>
  <c r="L248" i="2"/>
  <c r="M248" i="2"/>
  <c r="N248" i="2"/>
  <c r="O248" i="2"/>
  <c r="P248" i="2"/>
  <c r="Q248" i="2"/>
  <c r="R248" i="2"/>
  <c r="S248" i="2"/>
  <c r="T248" i="2"/>
  <c r="U248" i="2"/>
  <c r="V248" i="2"/>
  <c r="W248" i="2"/>
  <c r="X248" i="2"/>
  <c r="Y248" i="2"/>
  <c r="Z248" i="2"/>
  <c r="AA248" i="2"/>
  <c r="AB248" i="2"/>
  <c r="AC248" i="2"/>
  <c r="AD248" i="2"/>
  <c r="AE248" i="2"/>
  <c r="AF248" i="2"/>
  <c r="AG248" i="2"/>
  <c r="AH248" i="2"/>
  <c r="AJ248" i="2"/>
  <c r="AK248" i="2"/>
  <c r="AL248" i="2"/>
  <c r="AN248" i="2"/>
  <c r="AO248" i="2"/>
  <c r="AP248" i="2"/>
  <c r="AQ248" i="2"/>
  <c r="AR248" i="2"/>
  <c r="AS248" i="2"/>
  <c r="AT248" i="2"/>
  <c r="AU248" i="2"/>
  <c r="AV248" i="2"/>
  <c r="AW248" i="2"/>
  <c r="AX248" i="2"/>
  <c r="AY248" i="2"/>
  <c r="AZ248" i="2"/>
  <c r="BA248" i="2"/>
  <c r="BB248" i="2"/>
  <c r="BC248" i="2"/>
  <c r="BD248" i="2"/>
  <c r="BE248" i="2"/>
  <c r="BF248" i="2"/>
  <c r="BG248" i="2"/>
  <c r="BH248" i="2"/>
  <c r="BI248" i="2"/>
  <c r="BJ248" i="2"/>
  <c r="BR248" i="2"/>
  <c r="BS248" i="2"/>
  <c r="BT248" i="2"/>
  <c r="BU248" i="2"/>
  <c r="BV248" i="2"/>
  <c r="BW248" i="2"/>
  <c r="BX248" i="2"/>
  <c r="BY248" i="2"/>
  <c r="BZ248" i="2"/>
  <c r="CC248" i="2"/>
  <c r="CD248" i="2"/>
  <c r="CE248" i="2"/>
  <c r="CG248" i="2"/>
  <c r="CL248" i="2"/>
  <c r="H249" i="2"/>
  <c r="I249" i="2"/>
  <c r="R249" i="2"/>
  <c r="V249" i="2"/>
  <c r="X249" i="2"/>
  <c r="Y249" i="2"/>
  <c r="AG249" i="2"/>
  <c r="AH249" i="2"/>
  <c r="AK249" i="2"/>
  <c r="AL249" i="2"/>
  <c r="AN249" i="2"/>
  <c r="AO249" i="2"/>
  <c r="AU249" i="2"/>
  <c r="AW249" i="2"/>
  <c r="AX249" i="2"/>
  <c r="AY249" i="2"/>
  <c r="BA249" i="2"/>
  <c r="BB249" i="2"/>
  <c r="BC249" i="2"/>
  <c r="BD249" i="2"/>
  <c r="BE249" i="2"/>
  <c r="BR249" i="2"/>
  <c r="CL249" i="2"/>
  <c r="CL250" i="2"/>
  <c r="CL251" i="2"/>
  <c r="BT252" i="2"/>
  <c r="BU259" i="2" s="1"/>
  <c r="BU252" i="2"/>
  <c r="BV252" i="2"/>
  <c r="BW252" i="2"/>
  <c r="BX252" i="2"/>
  <c r="BX259" i="2" s="1"/>
  <c r="BY252" i="2"/>
  <c r="BY259" i="2" s="1"/>
  <c r="BZ252" i="2"/>
  <c r="BZ259" i="2" s="1"/>
  <c r="CA252" i="2"/>
  <c r="CB252" i="2"/>
  <c r="CC252" i="2"/>
  <c r="CD252" i="2"/>
  <c r="CE252" i="2"/>
  <c r="CE259" i="2" s="1"/>
  <c r="CF252" i="2"/>
  <c r="CF259" i="2" s="1"/>
  <c r="CG252" i="2"/>
  <c r="CG259" i="2" s="1"/>
  <c r="BT253" i="2"/>
  <c r="BU253" i="2"/>
  <c r="BV260" i="2" s="1"/>
  <c r="BV253" i="2"/>
  <c r="BW253" i="2"/>
  <c r="BX253" i="2"/>
  <c r="BX260" i="2" s="1"/>
  <c r="BY253" i="2"/>
  <c r="BY260" i="2" s="1"/>
  <c r="BZ253" i="2"/>
  <c r="BZ260" i="2" s="1"/>
  <c r="CA253" i="2"/>
  <c r="CA260" i="2" s="1"/>
  <c r="CB253" i="2"/>
  <c r="CB260" i="2" s="1"/>
  <c r="CC253" i="2"/>
  <c r="CD253" i="2"/>
  <c r="CE253" i="2"/>
  <c r="CF253" i="2"/>
  <c r="CG253" i="2"/>
  <c r="BT254" i="2"/>
  <c r="BU254" i="2"/>
  <c r="BU261" i="2" s="1"/>
  <c r="BV254" i="2"/>
  <c r="BW254" i="2"/>
  <c r="BW261" i="2" s="1"/>
  <c r="BX254" i="2"/>
  <c r="BY254" i="2"/>
  <c r="BZ254" i="2"/>
  <c r="CA254" i="2"/>
  <c r="CB254" i="2"/>
  <c r="CB261" i="2" s="1"/>
  <c r="CC254" i="2"/>
  <c r="CC261" i="2" s="1"/>
  <c r="CD254" i="2"/>
  <c r="CE254" i="2"/>
  <c r="CF254" i="2"/>
  <c r="CG254" i="2"/>
  <c r="BT255" i="2"/>
  <c r="BU255" i="2"/>
  <c r="BV255" i="2"/>
  <c r="BW255" i="2"/>
  <c r="BX255" i="2"/>
  <c r="BY255" i="2"/>
  <c r="BZ255" i="2"/>
  <c r="BZ262" i="2" s="1"/>
  <c r="CA255" i="2"/>
  <c r="CA262" i="2" s="1"/>
  <c r="CB255" i="2"/>
  <c r="CB262" i="2" s="1"/>
  <c r="CC255" i="2"/>
  <c r="CC262" i="2" s="1"/>
  <c r="CD255" i="2"/>
  <c r="CD262" i="2" s="1"/>
  <c r="CE255" i="2"/>
  <c r="CF255" i="2"/>
  <c r="CF262" i="2" s="1"/>
  <c r="CG255" i="2"/>
  <c r="CG262" i="2" s="1"/>
  <c r="D256" i="2"/>
  <c r="E256" i="2"/>
  <c r="F256" i="2"/>
  <c r="G256" i="2"/>
  <c r="H256" i="2"/>
  <c r="I256" i="2"/>
  <c r="I263" i="2" s="1"/>
  <c r="J256" i="2"/>
  <c r="K256" i="2"/>
  <c r="K272" i="2" s="1"/>
  <c r="K277" i="2" s="1"/>
  <c r="L256" i="2"/>
  <c r="BV256" i="2" s="1"/>
  <c r="M256" i="2"/>
  <c r="N256" i="2"/>
  <c r="O256" i="2"/>
  <c r="P256" i="2"/>
  <c r="P263" i="2" s="1"/>
  <c r="Q256" i="2"/>
  <c r="Q263" i="2" s="1"/>
  <c r="R256" i="2"/>
  <c r="R263" i="2" s="1"/>
  <c r="S256" i="2"/>
  <c r="T256" i="2"/>
  <c r="U256" i="2"/>
  <c r="BX256" i="2" s="1"/>
  <c r="V256" i="2"/>
  <c r="W256" i="2"/>
  <c r="X256" i="2"/>
  <c r="BY256" i="2" s="1"/>
  <c r="BY263" i="2" s="1"/>
  <c r="Y256" i="2"/>
  <c r="Y263" i="2" s="1"/>
  <c r="Z256" i="2"/>
  <c r="AA256" i="2"/>
  <c r="AA263" i="2" s="1"/>
  <c r="AB256" i="2"/>
  <c r="BZ256" i="2" s="1"/>
  <c r="BZ263" i="2" s="1"/>
  <c r="AC256" i="2"/>
  <c r="AD256" i="2"/>
  <c r="AE256" i="2"/>
  <c r="AF256" i="2"/>
  <c r="AF263" i="2" s="1"/>
  <c r="AG256" i="2"/>
  <c r="AG263" i="2" s="1"/>
  <c r="AH256" i="2"/>
  <c r="AH263" i="2" s="1"/>
  <c r="AI256" i="2"/>
  <c r="AJ256" i="2"/>
  <c r="AK256" i="2"/>
  <c r="AL256" i="2"/>
  <c r="AM256" i="2"/>
  <c r="AN256" i="2"/>
  <c r="AO256" i="2"/>
  <c r="AO263" i="2" s="1"/>
  <c r="AP256" i="2"/>
  <c r="AQ256" i="2"/>
  <c r="AQ272" i="2" s="1"/>
  <c r="AR256" i="2"/>
  <c r="AR272" i="2" s="1"/>
  <c r="AR277" i="2" s="1"/>
  <c r="AS256" i="2"/>
  <c r="AT256" i="2"/>
  <c r="AU256" i="2"/>
  <c r="AV256" i="2"/>
  <c r="AV263" i="2" s="1"/>
  <c r="AW256" i="2"/>
  <c r="AW263" i="2" s="1"/>
  <c r="AX256" i="2"/>
  <c r="AX263" i="2" s="1"/>
  <c r="AY256" i="2"/>
  <c r="AZ256" i="2"/>
  <c r="BA256" i="2"/>
  <c r="BB256" i="2"/>
  <c r="BC256" i="2"/>
  <c r="BD256" i="2"/>
  <c r="BE256" i="2"/>
  <c r="BE263" i="2" s="1"/>
  <c r="BF256" i="2"/>
  <c r="BG256" i="2"/>
  <c r="BG272" i="2" s="1"/>
  <c r="BG277" i="2" s="1"/>
  <c r="BH256" i="2"/>
  <c r="BH272" i="2" s="1"/>
  <c r="BH277" i="2" s="1"/>
  <c r="BI256" i="2"/>
  <c r="BJ256" i="2"/>
  <c r="BQ256" i="2"/>
  <c r="BR256" i="2"/>
  <c r="BS256" i="2"/>
  <c r="BS263" i="2" s="1"/>
  <c r="BT256" i="2"/>
  <c r="BT263" i="2" s="1"/>
  <c r="BU256" i="2"/>
  <c r="CB256" i="2"/>
  <c r="CC256" i="2"/>
  <c r="CC272" i="2" s="1"/>
  <c r="CD256" i="2"/>
  <c r="CD272" i="2" s="1"/>
  <c r="CD277" i="2" s="1"/>
  <c r="H259" i="2"/>
  <c r="I259" i="2"/>
  <c r="J259" i="2"/>
  <c r="K259" i="2"/>
  <c r="L259" i="2"/>
  <c r="M259" i="2"/>
  <c r="N259" i="2"/>
  <c r="O259" i="2"/>
  <c r="P259" i="2"/>
  <c r="Q259" i="2"/>
  <c r="R259" i="2"/>
  <c r="S259" i="2"/>
  <c r="T259" i="2"/>
  <c r="U259" i="2"/>
  <c r="V259" i="2"/>
  <c r="W259" i="2"/>
  <c r="X259" i="2"/>
  <c r="Y259" i="2"/>
  <c r="Z259" i="2"/>
  <c r="AA259" i="2"/>
  <c r="AB259" i="2"/>
  <c r="AC259" i="2"/>
  <c r="AD259" i="2"/>
  <c r="AE259" i="2"/>
  <c r="AF259" i="2"/>
  <c r="AG259" i="2"/>
  <c r="AH259" i="2"/>
  <c r="AI259" i="2"/>
  <c r="AJ259" i="2"/>
  <c r="AK259" i="2"/>
  <c r="AL259" i="2"/>
  <c r="AM259" i="2"/>
  <c r="AN259" i="2"/>
  <c r="AO259" i="2"/>
  <c r="AP259" i="2"/>
  <c r="AQ259" i="2"/>
  <c r="AR259" i="2"/>
  <c r="AS259" i="2"/>
  <c r="AT259" i="2"/>
  <c r="AU259" i="2"/>
  <c r="AV259" i="2"/>
  <c r="AW259" i="2"/>
  <c r="CW259" i="2" s="1"/>
  <c r="AX259" i="2"/>
  <c r="AY259" i="2"/>
  <c r="CY259" i="2" s="1"/>
  <c r="AZ259" i="2"/>
  <c r="CZ259" i="2" s="1"/>
  <c r="BA259" i="2"/>
  <c r="BB259" i="2"/>
  <c r="BC259" i="2"/>
  <c r="BD259" i="2"/>
  <c r="BE259" i="2"/>
  <c r="DE259" i="2" s="1"/>
  <c r="BF259" i="2"/>
  <c r="DF259" i="2" s="1"/>
  <c r="BG259" i="2"/>
  <c r="DG259" i="2" s="1"/>
  <c r="BH259" i="2"/>
  <c r="BI259" i="2"/>
  <c r="BJ259" i="2"/>
  <c r="BR259" i="2"/>
  <c r="BS259" i="2"/>
  <c r="BT259" i="2"/>
  <c r="BV259" i="2"/>
  <c r="BW259" i="2"/>
  <c r="CC259" i="2"/>
  <c r="CD259" i="2"/>
  <c r="CR259" i="2"/>
  <c r="CS259" i="2"/>
  <c r="CT259" i="2"/>
  <c r="CU259" i="2"/>
  <c r="CV259" i="2"/>
  <c r="CX259" i="2"/>
  <c r="DA259" i="2"/>
  <c r="DB259" i="2"/>
  <c r="DC259" i="2"/>
  <c r="DD259" i="2"/>
  <c r="H260" i="2"/>
  <c r="I260" i="2"/>
  <c r="J260" i="2"/>
  <c r="K260" i="2"/>
  <c r="L260" i="2"/>
  <c r="M260" i="2"/>
  <c r="N260" i="2"/>
  <c r="O260" i="2"/>
  <c r="P260" i="2"/>
  <c r="Q260" i="2"/>
  <c r="R260" i="2"/>
  <c r="S260" i="2"/>
  <c r="T260" i="2"/>
  <c r="U260" i="2"/>
  <c r="V260" i="2"/>
  <c r="W260" i="2"/>
  <c r="X260" i="2"/>
  <c r="Y260" i="2"/>
  <c r="Z260" i="2"/>
  <c r="AA260" i="2"/>
  <c r="AB260" i="2"/>
  <c r="AC260" i="2"/>
  <c r="AD260" i="2"/>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J260" i="2"/>
  <c r="BR260" i="2"/>
  <c r="BS260" i="2"/>
  <c r="BT260" i="2"/>
  <c r="BU260" i="2"/>
  <c r="BW260" i="2"/>
  <c r="CE260" i="2"/>
  <c r="CF260" i="2"/>
  <c r="CG260" i="2"/>
  <c r="CR260" i="2"/>
  <c r="CS260" i="2"/>
  <c r="CT260" i="2"/>
  <c r="CU260" i="2"/>
  <c r="CV260" i="2"/>
  <c r="CW260" i="2"/>
  <c r="CX260" i="2"/>
  <c r="CY260" i="2"/>
  <c r="CZ260" i="2"/>
  <c r="DA260" i="2"/>
  <c r="DB260" i="2"/>
  <c r="DC260" i="2"/>
  <c r="DD260" i="2"/>
  <c r="DE260" i="2"/>
  <c r="DF260" i="2"/>
  <c r="DG260" i="2"/>
  <c r="H261" i="2"/>
  <c r="I261" i="2"/>
  <c r="J261" i="2"/>
  <c r="K261" i="2"/>
  <c r="L261" i="2"/>
  <c r="M261" i="2"/>
  <c r="N261" i="2"/>
  <c r="O261" i="2"/>
  <c r="P261" i="2"/>
  <c r="Q261" i="2"/>
  <c r="R261" i="2"/>
  <c r="S261" i="2"/>
  <c r="T261" i="2"/>
  <c r="U261" i="2"/>
  <c r="V261" i="2"/>
  <c r="W261" i="2"/>
  <c r="X261" i="2"/>
  <c r="Y261" i="2"/>
  <c r="Z261" i="2"/>
  <c r="AA261" i="2"/>
  <c r="AB261" i="2"/>
  <c r="AC261" i="2"/>
  <c r="AD261" i="2"/>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J261" i="2"/>
  <c r="BR261" i="2"/>
  <c r="BS261" i="2"/>
  <c r="BT261" i="2"/>
  <c r="BV261" i="2"/>
  <c r="BX261" i="2"/>
  <c r="BY261" i="2"/>
  <c r="BZ261" i="2"/>
  <c r="CA261" i="2"/>
  <c r="CD261" i="2"/>
  <c r="CG261" i="2"/>
  <c r="H262" i="2"/>
  <c r="I262" i="2"/>
  <c r="J262" i="2"/>
  <c r="K262" i="2"/>
  <c r="L262" i="2"/>
  <c r="M262" i="2"/>
  <c r="N262" i="2"/>
  <c r="O262" i="2"/>
  <c r="P262" i="2"/>
  <c r="Q262" i="2"/>
  <c r="R262" i="2"/>
  <c r="S262" i="2"/>
  <c r="T262" i="2"/>
  <c r="U262" i="2"/>
  <c r="V262" i="2"/>
  <c r="W262" i="2"/>
  <c r="X262" i="2"/>
  <c r="Y262" i="2"/>
  <c r="Z262" i="2"/>
  <c r="AA262" i="2"/>
  <c r="AB262" i="2"/>
  <c r="AC262" i="2"/>
  <c r="AD262" i="2"/>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J262" i="2"/>
  <c r="BR262" i="2"/>
  <c r="BS262" i="2"/>
  <c r="BT262" i="2"/>
  <c r="BU262" i="2"/>
  <c r="BV262" i="2"/>
  <c r="BW262" i="2"/>
  <c r="BX262" i="2"/>
  <c r="BY262" i="2"/>
  <c r="CE262" i="2"/>
  <c r="H263" i="2"/>
  <c r="J263" i="2"/>
  <c r="L263" i="2"/>
  <c r="M263" i="2"/>
  <c r="N263" i="2"/>
  <c r="O263" i="2"/>
  <c r="U263" i="2"/>
  <c r="X263" i="2"/>
  <c r="Z263" i="2"/>
  <c r="AB263" i="2"/>
  <c r="AC263" i="2"/>
  <c r="AD263" i="2"/>
  <c r="AE263" i="2"/>
  <c r="AK263" i="2"/>
  <c r="AN263" i="2"/>
  <c r="AP263" i="2"/>
  <c r="AR263" i="2"/>
  <c r="AS263" i="2"/>
  <c r="AT263" i="2"/>
  <c r="AU263" i="2"/>
  <c r="BA263" i="2"/>
  <c r="BD263" i="2"/>
  <c r="BF263" i="2"/>
  <c r="BH263" i="2"/>
  <c r="BI263" i="2"/>
  <c r="BJ263" i="2"/>
  <c r="BR263" i="2"/>
  <c r="BW266" i="2"/>
  <c r="BX266" i="2"/>
  <c r="BY266" i="2"/>
  <c r="BZ266" i="2"/>
  <c r="CA266" i="2"/>
  <c r="CB266" i="2"/>
  <c r="CC266" i="2"/>
  <c r="CD266" i="2"/>
  <c r="CE266" i="2"/>
  <c r="CF266" i="2"/>
  <c r="CG266" i="2"/>
  <c r="BW267" i="2"/>
  <c r="BX267" i="2"/>
  <c r="BY267" i="2"/>
  <c r="BZ267" i="2"/>
  <c r="CA267" i="2"/>
  <c r="CB267" i="2"/>
  <c r="CC267" i="2"/>
  <c r="CD267" i="2"/>
  <c r="CE267" i="2"/>
  <c r="CF267" i="2"/>
  <c r="CG267" i="2"/>
  <c r="N270" i="2"/>
  <c r="N272" i="2" s="1"/>
  <c r="O270" i="2"/>
  <c r="S275" i="2" s="1"/>
  <c r="BW270" i="2"/>
  <c r="BW280" i="2" s="1"/>
  <c r="BX270" i="2"/>
  <c r="BX275" i="2" s="1"/>
  <c r="BY270" i="2"/>
  <c r="BY275" i="2" s="1"/>
  <c r="BZ270" i="2"/>
  <c r="BZ275" i="2" s="1"/>
  <c r="CA270" i="2"/>
  <c r="CB270" i="2"/>
  <c r="CB275" i="2" s="1"/>
  <c r="D271" i="2"/>
  <c r="H276" i="2" s="1"/>
  <c r="E271" i="2"/>
  <c r="I276" i="2" s="1"/>
  <c r="F271" i="2"/>
  <c r="J276" i="2" s="1"/>
  <c r="G271" i="2"/>
  <c r="H271" i="2"/>
  <c r="I271" i="2"/>
  <c r="J271" i="2"/>
  <c r="K271" i="2"/>
  <c r="L271" i="2"/>
  <c r="M271" i="2"/>
  <c r="N271" i="2"/>
  <c r="N276" i="2" s="1"/>
  <c r="O271" i="2"/>
  <c r="O276" i="2" s="1"/>
  <c r="P271" i="2"/>
  <c r="P276" i="2" s="1"/>
  <c r="Q271" i="2"/>
  <c r="Q276" i="2" s="1"/>
  <c r="R271" i="2"/>
  <c r="S271" i="2"/>
  <c r="T271" i="2"/>
  <c r="T276" i="2" s="1"/>
  <c r="U271" i="2"/>
  <c r="U272" i="2" s="1"/>
  <c r="U277" i="2" s="1"/>
  <c r="V271" i="2"/>
  <c r="W271" i="2"/>
  <c r="X271" i="2"/>
  <c r="BY271" i="2" s="1"/>
  <c r="Y271" i="2"/>
  <c r="Z271" i="2"/>
  <c r="AA271" i="2"/>
  <c r="AA272" i="2" s="1"/>
  <c r="AA277" i="2" s="1"/>
  <c r="AB271" i="2"/>
  <c r="BZ271" i="2" s="1"/>
  <c r="BZ276" i="2" s="1"/>
  <c r="AC271" i="2"/>
  <c r="AC272" i="2" s="1"/>
  <c r="AD271" i="2"/>
  <c r="AD276" i="2" s="1"/>
  <c r="AE271" i="2"/>
  <c r="AE276" i="2" s="1"/>
  <c r="AF271" i="2"/>
  <c r="CA271" i="2" s="1"/>
  <c r="CA276" i="2" s="1"/>
  <c r="AG271" i="2"/>
  <c r="AG276" i="2" s="1"/>
  <c r="AH271" i="2"/>
  <c r="AI271" i="2"/>
  <c r="AJ271" i="2"/>
  <c r="AK271" i="2"/>
  <c r="AK272" i="2" s="1"/>
  <c r="AK277" i="2" s="1"/>
  <c r="AL271" i="2"/>
  <c r="AM271" i="2"/>
  <c r="AN271" i="2"/>
  <c r="AO271" i="2"/>
  <c r="AP271" i="2"/>
  <c r="AQ271" i="2"/>
  <c r="AR271" i="2"/>
  <c r="AS271" i="2"/>
  <c r="AT271" i="2"/>
  <c r="AT276" i="2" s="1"/>
  <c r="AU271" i="2"/>
  <c r="AU276" i="2" s="1"/>
  <c r="AV271" i="2"/>
  <c r="AV276" i="2" s="1"/>
  <c r="AW271" i="2"/>
  <c r="AW276" i="2" s="1"/>
  <c r="AX271" i="2"/>
  <c r="AY271" i="2"/>
  <c r="AZ271" i="2"/>
  <c r="AZ276" i="2" s="1"/>
  <c r="BA271" i="2"/>
  <c r="BE276" i="2" s="1"/>
  <c r="BB271" i="2"/>
  <c r="BC271" i="2"/>
  <c r="BD271" i="2"/>
  <c r="BE271" i="2"/>
  <c r="BF271" i="2"/>
  <c r="BG271" i="2"/>
  <c r="BH271" i="2"/>
  <c r="BI271" i="2"/>
  <c r="BJ271" i="2"/>
  <c r="BJ276" i="2" s="1"/>
  <c r="BQ271" i="2"/>
  <c r="BR271" i="2"/>
  <c r="BR276" i="2" s="1"/>
  <c r="BS271" i="2"/>
  <c r="BS276" i="2" s="1"/>
  <c r="BT271" i="2"/>
  <c r="BU271" i="2"/>
  <c r="BU276" i="2" s="1"/>
  <c r="BV271" i="2"/>
  <c r="BW271" i="2"/>
  <c r="BW276" i="2" s="1"/>
  <c r="BX271" i="2"/>
  <c r="BX276" i="2" s="1"/>
  <c r="CC271" i="2"/>
  <c r="CD271" i="2"/>
  <c r="CE271" i="2"/>
  <c r="CF271" i="2"/>
  <c r="CG271" i="2"/>
  <c r="CG276" i="2" s="1"/>
  <c r="D272" i="2"/>
  <c r="E272" i="2"/>
  <c r="F272" i="2"/>
  <c r="G272" i="2"/>
  <c r="H272" i="2"/>
  <c r="H277" i="2" s="1"/>
  <c r="I272" i="2"/>
  <c r="I277" i="2" s="1"/>
  <c r="J272" i="2"/>
  <c r="J277" i="2" s="1"/>
  <c r="M272" i="2"/>
  <c r="P272" i="2"/>
  <c r="Q272" i="2"/>
  <c r="R272" i="2"/>
  <c r="R277" i="2" s="1"/>
  <c r="S272" i="2"/>
  <c r="W272" i="2"/>
  <c r="W277" i="2" s="1"/>
  <c r="X272" i="2"/>
  <c r="Y272" i="2"/>
  <c r="Z272" i="2"/>
  <c r="AF272" i="2"/>
  <c r="AG272" i="2"/>
  <c r="AH272" i="2"/>
  <c r="AI272" i="2"/>
  <c r="AM272" i="2"/>
  <c r="AM277" i="2" s="1"/>
  <c r="AN272" i="2"/>
  <c r="AO272" i="2"/>
  <c r="AP272" i="2"/>
  <c r="AS272" i="2"/>
  <c r="AT272" i="2"/>
  <c r="AU272" i="2"/>
  <c r="AV272" i="2"/>
  <c r="AV277" i="2" s="1"/>
  <c r="AX272" i="2"/>
  <c r="AX277" i="2" s="1"/>
  <c r="AZ272" i="2"/>
  <c r="BA272" i="2"/>
  <c r="BB272" i="2"/>
  <c r="BC272" i="2"/>
  <c r="BD272" i="2"/>
  <c r="BD277" i="2" s="1"/>
  <c r="BE272" i="2"/>
  <c r="BE277" i="2" s="1"/>
  <c r="BF272" i="2"/>
  <c r="BI272" i="2"/>
  <c r="BJ272" i="2"/>
  <c r="BQ272" i="2"/>
  <c r="BR272" i="2"/>
  <c r="BR277" i="2" s="1"/>
  <c r="BT272" i="2"/>
  <c r="H275" i="2"/>
  <c r="I275" i="2"/>
  <c r="J275" i="2"/>
  <c r="K275" i="2"/>
  <c r="L275" i="2"/>
  <c r="M275" i="2"/>
  <c r="O275" i="2"/>
  <c r="P275" i="2"/>
  <c r="Q275" i="2"/>
  <c r="R275" i="2"/>
  <c r="T275" i="2"/>
  <c r="U275" i="2"/>
  <c r="V275" i="2"/>
  <c r="W275" i="2"/>
  <c r="AP275" i="2"/>
  <c r="AQ275" i="2"/>
  <c r="AR275" i="2"/>
  <c r="AS275" i="2"/>
  <c r="AT275" i="2"/>
  <c r="AU275" i="2"/>
  <c r="AV275" i="2"/>
  <c r="AW275" i="2"/>
  <c r="AX275" i="2"/>
  <c r="AY275" i="2"/>
  <c r="AZ275" i="2"/>
  <c r="BA275" i="2"/>
  <c r="BB275" i="2"/>
  <c r="BC275" i="2"/>
  <c r="BD275" i="2"/>
  <c r="BE275" i="2"/>
  <c r="BF275" i="2"/>
  <c r="BG275" i="2"/>
  <c r="BH275" i="2"/>
  <c r="BI275" i="2"/>
  <c r="BJ275" i="2"/>
  <c r="BR275" i="2"/>
  <c r="BS275" i="2"/>
  <c r="BT275" i="2"/>
  <c r="BU275" i="2"/>
  <c r="BV275" i="2"/>
  <c r="BW275" i="2"/>
  <c r="CC275" i="2"/>
  <c r="CD275" i="2"/>
  <c r="CE275" i="2"/>
  <c r="CF275" i="2"/>
  <c r="CG275" i="2"/>
  <c r="K276" i="2"/>
  <c r="L276" i="2"/>
  <c r="M276" i="2"/>
  <c r="S276" i="2"/>
  <c r="U276" i="2"/>
  <c r="W276" i="2"/>
  <c r="AA276" i="2"/>
  <c r="AB276" i="2"/>
  <c r="AC276" i="2"/>
  <c r="AI276" i="2"/>
  <c r="AK276" i="2"/>
  <c r="AM276" i="2"/>
  <c r="AQ276" i="2"/>
  <c r="AR276" i="2"/>
  <c r="AS276" i="2"/>
  <c r="AY276" i="2"/>
  <c r="BA276" i="2"/>
  <c r="BC276" i="2"/>
  <c r="BG276" i="2"/>
  <c r="BH276" i="2"/>
  <c r="BI276" i="2"/>
  <c r="BV276" i="2"/>
  <c r="CD276" i="2"/>
  <c r="CE276" i="2"/>
  <c r="CF276" i="2"/>
  <c r="Q277" i="2"/>
  <c r="AS277" i="2"/>
  <c r="AZ277" i="2"/>
  <c r="BB277" i="2"/>
  <c r="BI277" i="2"/>
  <c r="D280" i="2"/>
  <c r="E280" i="2"/>
  <c r="E282" i="2" s="1"/>
  <c r="F280" i="2"/>
  <c r="F281" i="2" s="1"/>
  <c r="F282" i="2" s="1"/>
  <c r="G280" i="2"/>
  <c r="G281" i="2" s="1"/>
  <c r="G282" i="2" s="1"/>
  <c r="H280" i="2"/>
  <c r="H281" i="2" s="1"/>
  <c r="H282" i="2" s="1"/>
  <c r="I280" i="2"/>
  <c r="I281" i="2" s="1"/>
  <c r="J280" i="2"/>
  <c r="K280" i="2"/>
  <c r="L280" i="2"/>
  <c r="M280" i="2"/>
  <c r="P280" i="2"/>
  <c r="Q280" i="2"/>
  <c r="R280" i="2"/>
  <c r="S280" i="2"/>
  <c r="S282" i="2" s="1"/>
  <c r="T280" i="2"/>
  <c r="U280" i="2"/>
  <c r="AP280" i="2"/>
  <c r="AQ280" i="2"/>
  <c r="AQ282" i="2" s="1"/>
  <c r="AR280" i="2"/>
  <c r="AR282" i="2" s="1"/>
  <c r="AS280" i="2"/>
  <c r="AS282" i="2" s="1"/>
  <c r="AT280" i="2"/>
  <c r="AT282" i="2" s="1"/>
  <c r="AU280" i="2"/>
  <c r="AV280" i="2"/>
  <c r="AW280" i="2"/>
  <c r="AX280" i="2"/>
  <c r="AY280" i="2"/>
  <c r="AZ280" i="2"/>
  <c r="BA280" i="2"/>
  <c r="BB280" i="2"/>
  <c r="BB281" i="2" s="1"/>
  <c r="BB282" i="2" s="1"/>
  <c r="BC280" i="2"/>
  <c r="BC281" i="2" s="1"/>
  <c r="BC282" i="2" s="1"/>
  <c r="BD280" i="2"/>
  <c r="BD281" i="2" s="1"/>
  <c r="BD282" i="2" s="1"/>
  <c r="BE280" i="2"/>
  <c r="BE281" i="2" s="1"/>
  <c r="BE282" i="2" s="1"/>
  <c r="BF280" i="2"/>
  <c r="BG280" i="2"/>
  <c r="BG282" i="2" s="1"/>
  <c r="BH280" i="2"/>
  <c r="BH282" i="2" s="1"/>
  <c r="BI280" i="2"/>
  <c r="BI282" i="2" s="1"/>
  <c r="BJ280" i="2"/>
  <c r="BJ282" i="2" s="1"/>
  <c r="BQ280" i="2"/>
  <c r="BR280" i="2"/>
  <c r="BS280" i="2"/>
  <c r="BT280" i="2"/>
  <c r="BU280" i="2"/>
  <c r="BV280" i="2"/>
  <c r="BX280" i="2"/>
  <c r="BX281" i="2" s="1"/>
  <c r="BX282" i="2" s="1"/>
  <c r="BY280" i="2"/>
  <c r="BY281" i="2" s="1"/>
  <c r="BY282" i="2" s="1"/>
  <c r="BZ280" i="2"/>
  <c r="BZ281" i="2" s="1"/>
  <c r="BZ282" i="2" s="1"/>
  <c r="CA280" i="2"/>
  <c r="CA281" i="2" s="1"/>
  <c r="CA282" i="2" s="1"/>
  <c r="CB280" i="2"/>
  <c r="CC280" i="2"/>
  <c r="CC282" i="2" s="1"/>
  <c r="CD280" i="2"/>
  <c r="CD282" i="2" s="1"/>
  <c r="CE280" i="2"/>
  <c r="CE282" i="2" s="1"/>
  <c r="CF280" i="2"/>
  <c r="CF282" i="2" s="1"/>
  <c r="CG280" i="2"/>
  <c r="D281" i="2"/>
  <c r="D282" i="2" s="1"/>
  <c r="E281" i="2"/>
  <c r="L281" i="2"/>
  <c r="L282" i="2" s="1"/>
  <c r="M281" i="2"/>
  <c r="M282" i="2" s="1"/>
  <c r="N281" i="2"/>
  <c r="N282" i="2" s="1"/>
  <c r="O281" i="2"/>
  <c r="P281" i="2"/>
  <c r="Q281" i="2"/>
  <c r="R281" i="2"/>
  <c r="S281" i="2"/>
  <c r="T281" i="2"/>
  <c r="T282" i="2" s="1"/>
  <c r="U281" i="2"/>
  <c r="V281" i="2"/>
  <c r="W281" i="2"/>
  <c r="X281" i="2"/>
  <c r="Y281" i="2"/>
  <c r="Z281" i="2"/>
  <c r="Z282" i="2" s="1"/>
  <c r="AA281" i="2"/>
  <c r="AA282" i="2" s="1"/>
  <c r="AB281" i="2"/>
  <c r="AB282" i="2" s="1"/>
  <c r="AC281" i="2"/>
  <c r="AC282" i="2" s="1"/>
  <c r="AD281" i="2"/>
  <c r="AD282" i="2" s="1"/>
  <c r="AE281" i="2"/>
  <c r="AF281" i="2"/>
  <c r="AG281" i="2"/>
  <c r="AH281" i="2"/>
  <c r="AI281" i="2"/>
  <c r="AI282" i="2" s="1"/>
  <c r="AJ281" i="2"/>
  <c r="AJ282" i="2" s="1"/>
  <c r="AK281" i="2"/>
  <c r="AK282" i="2" s="1"/>
  <c r="AL281" i="2"/>
  <c r="AM281" i="2"/>
  <c r="AN281" i="2"/>
  <c r="AO281" i="2"/>
  <c r="AQ281" i="2"/>
  <c r="AR281" i="2"/>
  <c r="AS281" i="2"/>
  <c r="AT281" i="2"/>
  <c r="AX281" i="2"/>
  <c r="AY281" i="2"/>
  <c r="AY282" i="2" s="1"/>
  <c r="AZ281" i="2"/>
  <c r="AZ282" i="2" s="1"/>
  <c r="BA281" i="2"/>
  <c r="BA282" i="2" s="1"/>
  <c r="BG281" i="2"/>
  <c r="BH281" i="2"/>
  <c r="BI281" i="2"/>
  <c r="BJ281" i="2"/>
  <c r="BT281" i="2"/>
  <c r="BU281" i="2"/>
  <c r="BU282" i="2" s="1"/>
  <c r="BV281" i="2"/>
  <c r="BV282" i="2" s="1"/>
  <c r="CC281" i="2"/>
  <c r="CD281" i="2"/>
  <c r="CE281" i="2"/>
  <c r="CF281" i="2"/>
  <c r="I282" i="2"/>
  <c r="O282" i="2"/>
  <c r="P282" i="2"/>
  <c r="Q282" i="2"/>
  <c r="R282" i="2"/>
  <c r="V282" i="2"/>
  <c r="W282" i="2"/>
  <c r="X282" i="2"/>
  <c r="Y282" i="2"/>
  <c r="AE282" i="2"/>
  <c r="AF282" i="2"/>
  <c r="AG282" i="2"/>
  <c r="AH282" i="2"/>
  <c r="AL282" i="2"/>
  <c r="AM282" i="2"/>
  <c r="AN282" i="2"/>
  <c r="AO282" i="2"/>
  <c r="AX282" i="2"/>
  <c r="BT282" i="2"/>
  <c r="BT287" i="2"/>
  <c r="BU287" i="2"/>
  <c r="BU294" i="2" s="1"/>
  <c r="BV287" i="2"/>
  <c r="BV294" i="2" s="1"/>
  <c r="BW287" i="2"/>
  <c r="BW294" i="2" s="1"/>
  <c r="BX287" i="2"/>
  <c r="BX294" i="2" s="1"/>
  <c r="BY287" i="2"/>
  <c r="BZ287" i="2"/>
  <c r="BZ291" i="2" s="1"/>
  <c r="CA287" i="2"/>
  <c r="CA291" i="2" s="1"/>
  <c r="CA298" i="2" s="1"/>
  <c r="CB287" i="2"/>
  <c r="CB291" i="2" s="1"/>
  <c r="CC287" i="2"/>
  <c r="CD287" i="2"/>
  <c r="CE287" i="2"/>
  <c r="CF287" i="2"/>
  <c r="CG287" i="2"/>
  <c r="BT288" i="2"/>
  <c r="BU288" i="2"/>
  <c r="BV295" i="2" s="1"/>
  <c r="BV288" i="2"/>
  <c r="BW288" i="2"/>
  <c r="BX295" i="2" s="1"/>
  <c r="BX288" i="2"/>
  <c r="BY295" i="2" s="1"/>
  <c r="BY288" i="2"/>
  <c r="BZ288" i="2"/>
  <c r="CA295" i="2" s="1"/>
  <c r="CA288" i="2"/>
  <c r="CB288" i="2"/>
  <c r="CC288" i="2"/>
  <c r="CC330" i="2" s="1"/>
  <c r="CC337" i="2" s="1"/>
  <c r="CD288" i="2"/>
  <c r="CE288" i="2"/>
  <c r="CF295" i="2" s="1"/>
  <c r="CF288" i="2"/>
  <c r="CG288" i="2"/>
  <c r="BT289" i="2"/>
  <c r="BU289" i="2"/>
  <c r="BV289" i="2"/>
  <c r="BW289" i="2"/>
  <c r="BW296" i="2" s="1"/>
  <c r="BX289" i="2"/>
  <c r="BY289" i="2"/>
  <c r="BY296" i="2" s="1"/>
  <c r="BZ289" i="2"/>
  <c r="CA289" i="2"/>
  <c r="CA296" i="2" s="1"/>
  <c r="CB289" i="2"/>
  <c r="CB296" i="2" s="1"/>
  <c r="CC289" i="2"/>
  <c r="CC296" i="2" s="1"/>
  <c r="CD289" i="2"/>
  <c r="CD296" i="2" s="1"/>
  <c r="CE289" i="2"/>
  <c r="CE296" i="2" s="1"/>
  <c r="CF289" i="2"/>
  <c r="CG289" i="2"/>
  <c r="BT290" i="2"/>
  <c r="BU290" i="2"/>
  <c r="BV290" i="2"/>
  <c r="BW290" i="2"/>
  <c r="BX290" i="2"/>
  <c r="BY290" i="2"/>
  <c r="BY297" i="2" s="1"/>
  <c r="BZ290" i="2"/>
  <c r="BZ297" i="2" s="1"/>
  <c r="CA290" i="2"/>
  <c r="CB297" i="2" s="1"/>
  <c r="CB290" i="2"/>
  <c r="CC290" i="2"/>
  <c r="CD290" i="2"/>
  <c r="CE290" i="2"/>
  <c r="CF290" i="2"/>
  <c r="CG290" i="2"/>
  <c r="CG297" i="2" s="1"/>
  <c r="D291" i="2"/>
  <c r="E291" i="2"/>
  <c r="F291" i="2"/>
  <c r="G291" i="2"/>
  <c r="H291" i="2"/>
  <c r="I291" i="2"/>
  <c r="J291" i="2"/>
  <c r="K291" i="2"/>
  <c r="K305" i="2" s="1"/>
  <c r="L291" i="2"/>
  <c r="L298" i="2" s="1"/>
  <c r="M291" i="2"/>
  <c r="M298" i="2" s="1"/>
  <c r="N291" i="2"/>
  <c r="N298" i="2" s="1"/>
  <c r="O291" i="2"/>
  <c r="O298" i="2" s="1"/>
  <c r="P291" i="2"/>
  <c r="P298" i="2" s="1"/>
  <c r="Q291" i="2"/>
  <c r="R291" i="2"/>
  <c r="S291" i="2"/>
  <c r="S298" i="2" s="1"/>
  <c r="T291" i="2"/>
  <c r="U291" i="2"/>
  <c r="V291" i="2"/>
  <c r="W291" i="2"/>
  <c r="X291" i="2"/>
  <c r="Y291" i="2"/>
  <c r="Z291" i="2"/>
  <c r="AA291" i="2"/>
  <c r="AA305" i="2" s="1"/>
  <c r="AB291" i="2"/>
  <c r="AB298" i="2" s="1"/>
  <c r="AC291" i="2"/>
  <c r="AC298" i="2" s="1"/>
  <c r="AD291" i="2"/>
  <c r="AD298" i="2" s="1"/>
  <c r="AE291" i="2"/>
  <c r="AE298" i="2" s="1"/>
  <c r="AF291" i="2"/>
  <c r="AF298" i="2" s="1"/>
  <c r="AG291" i="2"/>
  <c r="AH291" i="2"/>
  <c r="AL299" i="2" s="1"/>
  <c r="AI291" i="2"/>
  <c r="AI298" i="2" s="1"/>
  <c r="AJ291" i="2"/>
  <c r="AK291" i="2"/>
  <c r="AL291" i="2"/>
  <c r="AM291" i="2"/>
  <c r="AN291" i="2"/>
  <c r="AO291" i="2"/>
  <c r="AP291" i="2"/>
  <c r="AQ291" i="2"/>
  <c r="AQ305" i="2" s="1"/>
  <c r="AR291" i="2"/>
  <c r="AR298" i="2" s="1"/>
  <c r="AS291" i="2"/>
  <c r="AS298" i="2" s="1"/>
  <c r="AT291" i="2"/>
  <c r="AT298" i="2" s="1"/>
  <c r="AU291" i="2"/>
  <c r="AU298" i="2" s="1"/>
  <c r="AV291" i="2"/>
  <c r="AV298" i="2" s="1"/>
  <c r="AW291" i="2"/>
  <c r="AX291" i="2"/>
  <c r="AY291" i="2"/>
  <c r="CE291" i="2" s="1"/>
  <c r="AZ291" i="2"/>
  <c r="BA291" i="2"/>
  <c r="BB291" i="2"/>
  <c r="BC291" i="2"/>
  <c r="BD291" i="2"/>
  <c r="BE291" i="2"/>
  <c r="BF291" i="2"/>
  <c r="BG291" i="2"/>
  <c r="BG305" i="2" s="1"/>
  <c r="BH291" i="2"/>
  <c r="BH298" i="2" s="1"/>
  <c r="BI291" i="2"/>
  <c r="BI298" i="2" s="1"/>
  <c r="BJ291" i="2"/>
  <c r="BJ298" i="2" s="1"/>
  <c r="BS291" i="2"/>
  <c r="BT291" i="2"/>
  <c r="BT298" i="2" s="1"/>
  <c r="BV291" i="2"/>
  <c r="BW291" i="2"/>
  <c r="BW298" i="2" s="1"/>
  <c r="BX291" i="2"/>
  <c r="BY291" i="2"/>
  <c r="BY298" i="2" s="1"/>
  <c r="CF291" i="2"/>
  <c r="CG291" i="2"/>
  <c r="CG298" i="2" s="1"/>
  <c r="H294" i="2"/>
  <c r="I294" i="2"/>
  <c r="J294" i="2"/>
  <c r="K294" i="2"/>
  <c r="L294" i="2"/>
  <c r="M294" i="2"/>
  <c r="N294" i="2"/>
  <c r="O294" i="2"/>
  <c r="P294" i="2"/>
  <c r="Q294" i="2"/>
  <c r="R294" i="2"/>
  <c r="S294" i="2"/>
  <c r="T294" i="2"/>
  <c r="U294" i="2"/>
  <c r="V294" i="2"/>
  <c r="W294" i="2"/>
  <c r="X294" i="2"/>
  <c r="Y294" i="2"/>
  <c r="Z294" i="2"/>
  <c r="AA294" i="2"/>
  <c r="AB294" i="2"/>
  <c r="AC294" i="2"/>
  <c r="AD294" i="2"/>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BF294" i="2"/>
  <c r="BG294" i="2"/>
  <c r="BH294" i="2"/>
  <c r="BI294" i="2"/>
  <c r="BJ294" i="2"/>
  <c r="BT294" i="2"/>
  <c r="BZ294" i="2"/>
  <c r="CE294" i="2"/>
  <c r="CF294" i="2"/>
  <c r="CG294" i="2"/>
  <c r="H295" i="2"/>
  <c r="I295" i="2"/>
  <c r="J295" i="2"/>
  <c r="K295" i="2"/>
  <c r="L295" i="2"/>
  <c r="M295" i="2"/>
  <c r="N295" i="2"/>
  <c r="O295" i="2"/>
  <c r="P295" i="2"/>
  <c r="Q295" i="2"/>
  <c r="R295" i="2"/>
  <c r="S295" i="2"/>
  <c r="T295" i="2"/>
  <c r="U295" i="2"/>
  <c r="V295" i="2"/>
  <c r="W295" i="2"/>
  <c r="X295" i="2"/>
  <c r="Y295" i="2"/>
  <c r="Z295" i="2"/>
  <c r="AA295" i="2"/>
  <c r="AB295" i="2"/>
  <c r="AC295" i="2"/>
  <c r="AD295" i="2"/>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BF295" i="2"/>
  <c r="BG295" i="2"/>
  <c r="BH295" i="2"/>
  <c r="BI295" i="2"/>
  <c r="BJ295" i="2"/>
  <c r="BT295" i="2"/>
  <c r="BU295" i="2"/>
  <c r="BW295" i="2"/>
  <c r="BZ295" i="2"/>
  <c r="CB295" i="2"/>
  <c r="CC295" i="2"/>
  <c r="CE295" i="2"/>
  <c r="CG295" i="2"/>
  <c r="H296" i="2"/>
  <c r="I296" i="2"/>
  <c r="J296" i="2"/>
  <c r="K296" i="2"/>
  <c r="L296" i="2"/>
  <c r="M296" i="2"/>
  <c r="N296" i="2"/>
  <c r="O296" i="2"/>
  <c r="P296" i="2"/>
  <c r="Q296" i="2"/>
  <c r="R296" i="2"/>
  <c r="S296" i="2"/>
  <c r="T296" i="2"/>
  <c r="U296" i="2"/>
  <c r="V296" i="2"/>
  <c r="W296" i="2"/>
  <c r="X296" i="2"/>
  <c r="Y296" i="2"/>
  <c r="Z296" i="2"/>
  <c r="AA296" i="2"/>
  <c r="AB296" i="2"/>
  <c r="AC296" i="2"/>
  <c r="AD296" i="2"/>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BF296" i="2"/>
  <c r="BG296" i="2"/>
  <c r="BH296" i="2"/>
  <c r="BI296" i="2"/>
  <c r="BJ296" i="2"/>
  <c r="BT296" i="2"/>
  <c r="BU296" i="2"/>
  <c r="BV296" i="2"/>
  <c r="BX296" i="2"/>
  <c r="BZ296" i="2"/>
  <c r="H297" i="2"/>
  <c r="I297" i="2"/>
  <c r="J297" i="2"/>
  <c r="K297" i="2"/>
  <c r="L297" i="2"/>
  <c r="M297" i="2"/>
  <c r="N297" i="2"/>
  <c r="O297" i="2"/>
  <c r="P297" i="2"/>
  <c r="Q297" i="2"/>
  <c r="R297" i="2"/>
  <c r="S297" i="2"/>
  <c r="T297" i="2"/>
  <c r="U297" i="2"/>
  <c r="V297" i="2"/>
  <c r="W297" i="2"/>
  <c r="X297" i="2"/>
  <c r="Y297" i="2"/>
  <c r="Z297" i="2"/>
  <c r="AA297" i="2"/>
  <c r="AB297" i="2"/>
  <c r="AC297" i="2"/>
  <c r="AD297" i="2"/>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BF297" i="2"/>
  <c r="BG297" i="2"/>
  <c r="BH297" i="2"/>
  <c r="BI297" i="2"/>
  <c r="BJ297" i="2"/>
  <c r="BT297" i="2"/>
  <c r="BU297" i="2"/>
  <c r="BV297" i="2"/>
  <c r="BW297" i="2"/>
  <c r="BX297" i="2"/>
  <c r="CA297" i="2"/>
  <c r="CC297" i="2"/>
  <c r="CD297" i="2"/>
  <c r="CE297" i="2"/>
  <c r="CF297" i="2"/>
  <c r="H298" i="2"/>
  <c r="J298" i="2"/>
  <c r="K298" i="2"/>
  <c r="Q298" i="2"/>
  <c r="R298" i="2"/>
  <c r="T298" i="2"/>
  <c r="V298" i="2"/>
  <c r="X298" i="2"/>
  <c r="Z298" i="2"/>
  <c r="AA298" i="2"/>
  <c r="AG298" i="2"/>
  <c r="AH298" i="2"/>
  <c r="AJ298" i="2"/>
  <c r="AL298" i="2"/>
  <c r="AN298" i="2"/>
  <c r="AP298" i="2"/>
  <c r="AQ298" i="2"/>
  <c r="AW298" i="2"/>
  <c r="AX298" i="2"/>
  <c r="AZ298" i="2"/>
  <c r="BB298" i="2"/>
  <c r="BD298" i="2"/>
  <c r="BF298" i="2"/>
  <c r="BG298" i="2"/>
  <c r="CF298" i="2"/>
  <c r="E301" i="2"/>
  <c r="F301" i="2"/>
  <c r="G301" i="2"/>
  <c r="H301" i="2"/>
  <c r="I301" i="2"/>
  <c r="J301" i="2"/>
  <c r="K301" i="2"/>
  <c r="L301" i="2"/>
  <c r="M301" i="2"/>
  <c r="N301" i="2"/>
  <c r="O301" i="2"/>
  <c r="P301" i="2"/>
  <c r="Q301" i="2"/>
  <c r="R301" i="2"/>
  <c r="S301" i="2"/>
  <c r="T301" i="2"/>
  <c r="U301" i="2"/>
  <c r="V301" i="2"/>
  <c r="W301" i="2"/>
  <c r="X301" i="2"/>
  <c r="Y301" i="2"/>
  <c r="Z301" i="2"/>
  <c r="AA301" i="2"/>
  <c r="AB301" i="2"/>
  <c r="AC301" i="2"/>
  <c r="AD301" i="2"/>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BF301" i="2"/>
  <c r="BG301" i="2"/>
  <c r="BH301" i="2"/>
  <c r="BI301" i="2"/>
  <c r="BJ301" i="2"/>
  <c r="E302" i="2"/>
  <c r="F302" i="2"/>
  <c r="G302" i="2"/>
  <c r="H302" i="2"/>
  <c r="I302" i="2"/>
  <c r="J302" i="2"/>
  <c r="K302" i="2"/>
  <c r="L302" i="2"/>
  <c r="M302" i="2"/>
  <c r="N302" i="2"/>
  <c r="O302" i="2"/>
  <c r="P302" i="2"/>
  <c r="Q302" i="2"/>
  <c r="R302" i="2"/>
  <c r="S302" i="2"/>
  <c r="T302" i="2"/>
  <c r="U302" i="2"/>
  <c r="V302" i="2"/>
  <c r="W302" i="2"/>
  <c r="X302" i="2"/>
  <c r="Y302" i="2"/>
  <c r="Z302" i="2"/>
  <c r="AA302" i="2"/>
  <c r="AB302" i="2"/>
  <c r="AC302" i="2"/>
  <c r="AD302" i="2"/>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BF302" i="2"/>
  <c r="BG302" i="2"/>
  <c r="BH302" i="2"/>
  <c r="BI302" i="2"/>
  <c r="BJ302" i="2"/>
  <c r="E303" i="2"/>
  <c r="F303" i="2"/>
  <c r="G303" i="2"/>
  <c r="H303" i="2"/>
  <c r="I303" i="2"/>
  <c r="J303" i="2"/>
  <c r="K303" i="2"/>
  <c r="L303" i="2"/>
  <c r="M303" i="2"/>
  <c r="N303" i="2"/>
  <c r="O303" i="2"/>
  <c r="P303" i="2"/>
  <c r="Q303" i="2"/>
  <c r="R303" i="2"/>
  <c r="S303" i="2"/>
  <c r="T303" i="2"/>
  <c r="U303" i="2"/>
  <c r="V303" i="2"/>
  <c r="W303" i="2"/>
  <c r="X303" i="2"/>
  <c r="Y303" i="2"/>
  <c r="Z303" i="2"/>
  <c r="AA303" i="2"/>
  <c r="AB303" i="2"/>
  <c r="AC303" i="2"/>
  <c r="AD303" i="2"/>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BF303" i="2"/>
  <c r="BG303" i="2"/>
  <c r="BH303" i="2"/>
  <c r="BI303" i="2"/>
  <c r="BJ303" i="2"/>
  <c r="E304" i="2"/>
  <c r="F304" i="2"/>
  <c r="G304" i="2"/>
  <c r="H304" i="2"/>
  <c r="I304" i="2"/>
  <c r="J304" i="2"/>
  <c r="K304" i="2"/>
  <c r="L304" i="2"/>
  <c r="M304" i="2"/>
  <c r="N304" i="2"/>
  <c r="O304" i="2"/>
  <c r="P304" i="2"/>
  <c r="Q304" i="2"/>
  <c r="R304" i="2"/>
  <c r="S304" i="2"/>
  <c r="T304" i="2"/>
  <c r="U304" i="2"/>
  <c r="V304" i="2"/>
  <c r="W304" i="2"/>
  <c r="X304" i="2"/>
  <c r="Y304" i="2"/>
  <c r="Z304" i="2"/>
  <c r="AA304" i="2"/>
  <c r="AB304" i="2"/>
  <c r="AC304" i="2"/>
  <c r="AD304" i="2"/>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BF304" i="2"/>
  <c r="BG304" i="2"/>
  <c r="BH304" i="2"/>
  <c r="BI304" i="2"/>
  <c r="BJ304" i="2"/>
  <c r="G305" i="2"/>
  <c r="H305" i="2"/>
  <c r="I305" i="2"/>
  <c r="J305" i="2"/>
  <c r="P305" i="2"/>
  <c r="Q305" i="2"/>
  <c r="R305" i="2"/>
  <c r="W305" i="2"/>
  <c r="X305" i="2"/>
  <c r="Y305" i="2"/>
  <c r="Z305" i="2"/>
  <c r="AF305" i="2"/>
  <c r="AG305" i="2"/>
  <c r="AH305" i="2"/>
  <c r="AM305" i="2"/>
  <c r="AN305" i="2"/>
  <c r="AO305" i="2"/>
  <c r="AP305" i="2"/>
  <c r="AV305" i="2"/>
  <c r="AW305" i="2"/>
  <c r="AX305" i="2"/>
  <c r="BC305" i="2"/>
  <c r="BD305" i="2"/>
  <c r="BE305" i="2"/>
  <c r="BF305" i="2"/>
  <c r="BT308" i="2"/>
  <c r="BT329" i="2" s="1"/>
  <c r="BU308" i="2"/>
  <c r="BU312" i="2" s="1"/>
  <c r="BV308" i="2"/>
  <c r="BV315" i="2" s="1"/>
  <c r="BW308" i="2"/>
  <c r="BW315" i="2" s="1"/>
  <c r="BX308" i="2"/>
  <c r="BX315" i="2" s="1"/>
  <c r="BY308" i="2"/>
  <c r="BY315" i="2" s="1"/>
  <c r="BZ308" i="2"/>
  <c r="CA308" i="2"/>
  <c r="CA312" i="2" s="1"/>
  <c r="CB308" i="2"/>
  <c r="CC308" i="2"/>
  <c r="CC312" i="2" s="1"/>
  <c r="CD308" i="2"/>
  <c r="CE308" i="2"/>
  <c r="CF308" i="2"/>
  <c r="CG308" i="2"/>
  <c r="BT309" i="2"/>
  <c r="BU309" i="2"/>
  <c r="BV309" i="2"/>
  <c r="BW316" i="2" s="1"/>
  <c r="BW309" i="2"/>
  <c r="BX309" i="2"/>
  <c r="BY316" i="2" s="1"/>
  <c r="BY309" i="2"/>
  <c r="BZ316" i="2" s="1"/>
  <c r="BZ309" i="2"/>
  <c r="CA309" i="2"/>
  <c r="CB316" i="2" s="1"/>
  <c r="CB309" i="2"/>
  <c r="CC309" i="2"/>
  <c r="CD309" i="2"/>
  <c r="CE309" i="2"/>
  <c r="CF309" i="2"/>
  <c r="CG309" i="2"/>
  <c r="BT310" i="2"/>
  <c r="BU310" i="2"/>
  <c r="BV310" i="2"/>
  <c r="BW310" i="2"/>
  <c r="BX310" i="2"/>
  <c r="BX317" i="2" s="1"/>
  <c r="BY310" i="2"/>
  <c r="BZ310" i="2"/>
  <c r="CA310" i="2"/>
  <c r="CB310" i="2"/>
  <c r="CB317" i="2" s="1"/>
  <c r="CC310" i="2"/>
  <c r="CC317" i="2" s="1"/>
  <c r="CD310" i="2"/>
  <c r="CD317" i="2" s="1"/>
  <c r="CE310" i="2"/>
  <c r="CE317" i="2" s="1"/>
  <c r="CF310" i="2"/>
  <c r="CG310" i="2"/>
  <c r="BT311" i="2"/>
  <c r="BU318" i="2" s="1"/>
  <c r="BU311" i="2"/>
  <c r="BV311" i="2"/>
  <c r="BW311" i="2"/>
  <c r="BX311" i="2"/>
  <c r="BY311" i="2"/>
  <c r="BZ311" i="2"/>
  <c r="BZ318" i="2" s="1"/>
  <c r="CA311" i="2"/>
  <c r="CA318" i="2" s="1"/>
  <c r="CB311" i="2"/>
  <c r="CC318" i="2" s="1"/>
  <c r="CC311" i="2"/>
  <c r="CD311" i="2"/>
  <c r="CE311" i="2"/>
  <c r="CF311" i="2"/>
  <c r="CG311" i="2"/>
  <c r="D312" i="2"/>
  <c r="E312" i="2"/>
  <c r="F312" i="2"/>
  <c r="G312" i="2"/>
  <c r="H312" i="2"/>
  <c r="I312" i="2"/>
  <c r="J312" i="2"/>
  <c r="K312" i="2"/>
  <c r="L312" i="2"/>
  <c r="L326" i="2" s="1"/>
  <c r="M312" i="2"/>
  <c r="M319" i="2" s="1"/>
  <c r="N312" i="2"/>
  <c r="N319" i="2" s="1"/>
  <c r="O312" i="2"/>
  <c r="O319" i="2" s="1"/>
  <c r="P312" i="2"/>
  <c r="P319" i="2" s="1"/>
  <c r="Q312" i="2"/>
  <c r="Q319" i="2" s="1"/>
  <c r="R312" i="2"/>
  <c r="S312" i="2"/>
  <c r="T312" i="2"/>
  <c r="U312" i="2"/>
  <c r="V312" i="2"/>
  <c r="W312" i="2"/>
  <c r="X312" i="2"/>
  <c r="Y312" i="2"/>
  <c r="Z312" i="2"/>
  <c r="AA312" i="2"/>
  <c r="AB312" i="2"/>
  <c r="AB326" i="2" s="1"/>
  <c r="AC312" i="2"/>
  <c r="AC319" i="2" s="1"/>
  <c r="AD312" i="2"/>
  <c r="AD319" i="2" s="1"/>
  <c r="AE312" i="2"/>
  <c r="AE319" i="2" s="1"/>
  <c r="AF312" i="2"/>
  <c r="AF319" i="2" s="1"/>
  <c r="AG312" i="2"/>
  <c r="AG319" i="2" s="1"/>
  <c r="AH312" i="2"/>
  <c r="AI312" i="2"/>
  <c r="AJ312" i="2"/>
  <c r="AK312" i="2"/>
  <c r="AL327" i="2" s="1"/>
  <c r="AL312" i="2"/>
  <c r="AM312" i="2"/>
  <c r="AN312" i="2"/>
  <c r="AO312" i="2"/>
  <c r="AP312" i="2"/>
  <c r="AQ312" i="2"/>
  <c r="AR312" i="2"/>
  <c r="AR326" i="2" s="1"/>
  <c r="AS312" i="2"/>
  <c r="AS319" i="2" s="1"/>
  <c r="AT312" i="2"/>
  <c r="AT319" i="2" s="1"/>
  <c r="AU312" i="2"/>
  <c r="AU319" i="2" s="1"/>
  <c r="AV312" i="2"/>
  <c r="AV319" i="2" s="1"/>
  <c r="AW312" i="2"/>
  <c r="AW319" i="2" s="1"/>
  <c r="AX312" i="2"/>
  <c r="AY312" i="2"/>
  <c r="CE312" i="2" s="1"/>
  <c r="AZ312" i="2"/>
  <c r="BA312" i="2"/>
  <c r="BB312" i="2"/>
  <c r="BC312" i="2"/>
  <c r="BD312" i="2"/>
  <c r="BE312" i="2"/>
  <c r="BF312" i="2"/>
  <c r="BG312" i="2"/>
  <c r="BH312" i="2"/>
  <c r="BH326" i="2" s="1"/>
  <c r="BI312" i="2"/>
  <c r="BI319" i="2" s="1"/>
  <c r="BJ312" i="2"/>
  <c r="BJ319" i="2" s="1"/>
  <c r="BS312" i="2"/>
  <c r="BX312" i="2"/>
  <c r="BY312" i="2"/>
  <c r="BZ312" i="2"/>
  <c r="BZ319" i="2" s="1"/>
  <c r="CF312" i="2"/>
  <c r="CF333" i="2" s="1"/>
  <c r="CG312" i="2"/>
  <c r="H315" i="2"/>
  <c r="I315" i="2"/>
  <c r="J315" i="2"/>
  <c r="K315" i="2"/>
  <c r="L315" i="2"/>
  <c r="M315" i="2"/>
  <c r="N315" i="2"/>
  <c r="O315" i="2"/>
  <c r="P315" i="2"/>
  <c r="Q315" i="2"/>
  <c r="R315" i="2"/>
  <c r="S315" i="2"/>
  <c r="T315" i="2"/>
  <c r="U315" i="2"/>
  <c r="V315" i="2"/>
  <c r="W315" i="2"/>
  <c r="X315" i="2"/>
  <c r="Y315" i="2"/>
  <c r="Z315" i="2"/>
  <c r="AA315" i="2"/>
  <c r="AB315" i="2"/>
  <c r="AC315" i="2"/>
  <c r="AD315" i="2"/>
  <c r="AE315" i="2"/>
  <c r="AF315" i="2"/>
  <c r="AG315" i="2"/>
  <c r="AH315" i="2"/>
  <c r="AI315" i="2"/>
  <c r="AJ315" i="2"/>
  <c r="AK315" i="2"/>
  <c r="AL315" i="2"/>
  <c r="AM315" i="2"/>
  <c r="AN315" i="2"/>
  <c r="AO315" i="2"/>
  <c r="AP315" i="2"/>
  <c r="AQ315" i="2"/>
  <c r="AR315" i="2"/>
  <c r="AS315" i="2"/>
  <c r="AT315" i="2"/>
  <c r="AU315" i="2"/>
  <c r="AV315" i="2"/>
  <c r="AW315" i="2"/>
  <c r="AX315" i="2"/>
  <c r="AY315" i="2"/>
  <c r="AZ315" i="2"/>
  <c r="BA315" i="2"/>
  <c r="BB315" i="2"/>
  <c r="BC315" i="2"/>
  <c r="BD315" i="2"/>
  <c r="BE315" i="2"/>
  <c r="BF315" i="2"/>
  <c r="BG315" i="2"/>
  <c r="BH315" i="2"/>
  <c r="BI315" i="2"/>
  <c r="BJ315" i="2"/>
  <c r="BU315" i="2"/>
  <c r="CA315" i="2"/>
  <c r="CF315" i="2"/>
  <c r="CG315" i="2"/>
  <c r="H316" i="2"/>
  <c r="I316" i="2"/>
  <c r="J316" i="2"/>
  <c r="K316" i="2"/>
  <c r="L316" i="2"/>
  <c r="M316" i="2"/>
  <c r="N316" i="2"/>
  <c r="O316" i="2"/>
  <c r="P316" i="2"/>
  <c r="Q316" i="2"/>
  <c r="R316" i="2"/>
  <c r="S316" i="2"/>
  <c r="T316" i="2"/>
  <c r="U316" i="2"/>
  <c r="V316" i="2"/>
  <c r="W316" i="2"/>
  <c r="X316" i="2"/>
  <c r="Y316" i="2"/>
  <c r="Z316" i="2"/>
  <c r="AA316" i="2"/>
  <c r="AB316" i="2"/>
  <c r="AC316" i="2"/>
  <c r="AD316" i="2"/>
  <c r="AE316" i="2"/>
  <c r="AF316" i="2"/>
  <c r="AG316" i="2"/>
  <c r="AH316" i="2"/>
  <c r="AI316" i="2"/>
  <c r="AJ316" i="2"/>
  <c r="AK316" i="2"/>
  <c r="AL316" i="2"/>
  <c r="AM316" i="2"/>
  <c r="AN316" i="2"/>
  <c r="AO316" i="2"/>
  <c r="AP316" i="2"/>
  <c r="AQ316" i="2"/>
  <c r="AR316" i="2"/>
  <c r="AS316" i="2"/>
  <c r="AT316" i="2"/>
  <c r="AU316" i="2"/>
  <c r="AV316" i="2"/>
  <c r="AW316" i="2"/>
  <c r="AX316" i="2"/>
  <c r="AY316" i="2"/>
  <c r="AZ316" i="2"/>
  <c r="BA316" i="2"/>
  <c r="BB316" i="2"/>
  <c r="BC316" i="2"/>
  <c r="BD316" i="2"/>
  <c r="BE316" i="2"/>
  <c r="BF316" i="2"/>
  <c r="BG316" i="2"/>
  <c r="BH316" i="2"/>
  <c r="BI316" i="2"/>
  <c r="BJ316" i="2"/>
  <c r="BT316" i="2"/>
  <c r="BU316" i="2"/>
  <c r="BV316" i="2"/>
  <c r="BX316" i="2"/>
  <c r="CA316" i="2"/>
  <c r="CC316" i="2"/>
  <c r="CD316" i="2"/>
  <c r="CF316" i="2"/>
  <c r="H317" i="2"/>
  <c r="I317" i="2"/>
  <c r="J317" i="2"/>
  <c r="K317" i="2"/>
  <c r="L317" i="2"/>
  <c r="M317" i="2"/>
  <c r="N317" i="2"/>
  <c r="O317" i="2"/>
  <c r="P317" i="2"/>
  <c r="Q317" i="2"/>
  <c r="R317" i="2"/>
  <c r="S317" i="2"/>
  <c r="T317" i="2"/>
  <c r="U317" i="2"/>
  <c r="V317" i="2"/>
  <c r="W317" i="2"/>
  <c r="X317" i="2"/>
  <c r="Y317" i="2"/>
  <c r="Z317" i="2"/>
  <c r="AA317" i="2"/>
  <c r="AB317" i="2"/>
  <c r="AC317" i="2"/>
  <c r="AD317" i="2"/>
  <c r="AE317" i="2"/>
  <c r="AF317" i="2"/>
  <c r="AG317" i="2"/>
  <c r="AH317" i="2"/>
  <c r="AI317" i="2"/>
  <c r="AJ317" i="2"/>
  <c r="AK317" i="2"/>
  <c r="AL317" i="2"/>
  <c r="AM317" i="2"/>
  <c r="AN317" i="2"/>
  <c r="AO317" i="2"/>
  <c r="AP317" i="2"/>
  <c r="AQ317" i="2"/>
  <c r="AR317" i="2"/>
  <c r="AS317" i="2"/>
  <c r="AT317" i="2"/>
  <c r="AU317" i="2"/>
  <c r="AV317" i="2"/>
  <c r="AW317" i="2"/>
  <c r="AX317" i="2"/>
  <c r="AY317" i="2"/>
  <c r="AZ317" i="2"/>
  <c r="BA317" i="2"/>
  <c r="BB317" i="2"/>
  <c r="BC317" i="2"/>
  <c r="BD317" i="2"/>
  <c r="BE317" i="2"/>
  <c r="BF317" i="2"/>
  <c r="BG317" i="2"/>
  <c r="BH317" i="2"/>
  <c r="BI317" i="2"/>
  <c r="BJ317" i="2"/>
  <c r="BT317" i="2"/>
  <c r="BU317" i="2"/>
  <c r="BV317" i="2"/>
  <c r="BW317" i="2"/>
  <c r="BY317" i="2"/>
  <c r="BZ317" i="2"/>
  <c r="CA317" i="2"/>
  <c r="H318" i="2"/>
  <c r="I318" i="2"/>
  <c r="J318" i="2"/>
  <c r="K318" i="2"/>
  <c r="L318" i="2"/>
  <c r="M318" i="2"/>
  <c r="N318" i="2"/>
  <c r="O318" i="2"/>
  <c r="P318" i="2"/>
  <c r="Q318" i="2"/>
  <c r="R318" i="2"/>
  <c r="S318" i="2"/>
  <c r="T318" i="2"/>
  <c r="U318" i="2"/>
  <c r="V318" i="2"/>
  <c r="W318" i="2"/>
  <c r="X318" i="2"/>
  <c r="Y318" i="2"/>
  <c r="Z318" i="2"/>
  <c r="AA318" i="2"/>
  <c r="AB318" i="2"/>
  <c r="AC318" i="2"/>
  <c r="AD318" i="2"/>
  <c r="AE318" i="2"/>
  <c r="AF318" i="2"/>
  <c r="AG318" i="2"/>
  <c r="AH318" i="2"/>
  <c r="AI318" i="2"/>
  <c r="AJ318" i="2"/>
  <c r="AK318" i="2"/>
  <c r="AL318" i="2"/>
  <c r="AM318" i="2"/>
  <c r="AN318" i="2"/>
  <c r="AO318" i="2"/>
  <c r="AP318" i="2"/>
  <c r="AQ318" i="2"/>
  <c r="AR318" i="2"/>
  <c r="AS318" i="2"/>
  <c r="AT318" i="2"/>
  <c r="AU318" i="2"/>
  <c r="AV318" i="2"/>
  <c r="AW318" i="2"/>
  <c r="AX318" i="2"/>
  <c r="AY318" i="2"/>
  <c r="AZ318" i="2"/>
  <c r="BA318" i="2"/>
  <c r="BB318" i="2"/>
  <c r="BC318" i="2"/>
  <c r="BD318" i="2"/>
  <c r="BE318" i="2"/>
  <c r="BF318" i="2"/>
  <c r="BG318" i="2"/>
  <c r="BH318" i="2"/>
  <c r="BI318" i="2"/>
  <c r="BJ318" i="2"/>
  <c r="BV318" i="2"/>
  <c r="BW318" i="2"/>
  <c r="BX318" i="2"/>
  <c r="BY318" i="2"/>
  <c r="CB318" i="2"/>
  <c r="CD318" i="2"/>
  <c r="CE318" i="2"/>
  <c r="CF318" i="2"/>
  <c r="CG318" i="2"/>
  <c r="I319" i="2"/>
  <c r="J319" i="2"/>
  <c r="K319" i="2"/>
  <c r="L319" i="2"/>
  <c r="R319" i="2"/>
  <c r="S319" i="2"/>
  <c r="T319" i="2"/>
  <c r="U319" i="2"/>
  <c r="W319" i="2"/>
  <c r="Y319" i="2"/>
  <c r="Z319" i="2"/>
  <c r="AA319" i="2"/>
  <c r="AB319" i="2"/>
  <c r="AH319" i="2"/>
  <c r="AI319" i="2"/>
  <c r="AJ319" i="2"/>
  <c r="AK319" i="2"/>
  <c r="AM319" i="2"/>
  <c r="AO319" i="2"/>
  <c r="AP319" i="2"/>
  <c r="AQ319" i="2"/>
  <c r="AR319" i="2"/>
  <c r="AX319" i="2"/>
  <c r="AY319" i="2"/>
  <c r="AZ319" i="2"/>
  <c r="BA319" i="2"/>
  <c r="BC319" i="2"/>
  <c r="BE319" i="2"/>
  <c r="BF319" i="2"/>
  <c r="BG319" i="2"/>
  <c r="BH319" i="2"/>
  <c r="CG319" i="2"/>
  <c r="AL320" i="2"/>
  <c r="E322" i="2"/>
  <c r="F322" i="2"/>
  <c r="G322" i="2"/>
  <c r="H322" i="2"/>
  <c r="I322" i="2"/>
  <c r="J322" i="2"/>
  <c r="K322" i="2"/>
  <c r="L322" i="2"/>
  <c r="M322" i="2"/>
  <c r="N322" i="2"/>
  <c r="O322" i="2"/>
  <c r="P322" i="2"/>
  <c r="Q322" i="2"/>
  <c r="R322" i="2"/>
  <c r="S322" i="2"/>
  <c r="T322" i="2"/>
  <c r="U322" i="2"/>
  <c r="V322" i="2"/>
  <c r="W322" i="2"/>
  <c r="X322" i="2"/>
  <c r="Y322" i="2"/>
  <c r="Z322" i="2"/>
  <c r="AA322" i="2"/>
  <c r="AB322" i="2"/>
  <c r="AC322" i="2"/>
  <c r="AD322" i="2"/>
  <c r="AE322" i="2"/>
  <c r="AF322" i="2"/>
  <c r="AG322" i="2"/>
  <c r="AH322" i="2"/>
  <c r="AI322" i="2"/>
  <c r="AJ322" i="2"/>
  <c r="AK322" i="2"/>
  <c r="AL322" i="2"/>
  <c r="AM322" i="2"/>
  <c r="AN322" i="2"/>
  <c r="AO322" i="2"/>
  <c r="AP322" i="2"/>
  <c r="AQ322" i="2"/>
  <c r="AR322" i="2"/>
  <c r="AS322" i="2"/>
  <c r="AT322" i="2"/>
  <c r="AU322" i="2"/>
  <c r="AV322" i="2"/>
  <c r="AW322" i="2"/>
  <c r="AX322" i="2"/>
  <c r="AY322" i="2"/>
  <c r="AZ322" i="2"/>
  <c r="BA322" i="2"/>
  <c r="BB322" i="2"/>
  <c r="BC322" i="2"/>
  <c r="BD322" i="2"/>
  <c r="BE322" i="2"/>
  <c r="BF322" i="2"/>
  <c r="BG322" i="2"/>
  <c r="BH322" i="2"/>
  <c r="BI322" i="2"/>
  <c r="BJ322" i="2"/>
  <c r="E323" i="2"/>
  <c r="F323" i="2"/>
  <c r="G323" i="2"/>
  <c r="H323" i="2"/>
  <c r="I323" i="2"/>
  <c r="J323" i="2"/>
  <c r="K323" i="2"/>
  <c r="L323" i="2"/>
  <c r="M323" i="2"/>
  <c r="N323" i="2"/>
  <c r="O323" i="2"/>
  <c r="P323" i="2"/>
  <c r="Q323" i="2"/>
  <c r="R323" i="2"/>
  <c r="S323" i="2"/>
  <c r="T323" i="2"/>
  <c r="U323" i="2"/>
  <c r="V323" i="2"/>
  <c r="W323" i="2"/>
  <c r="X323" i="2"/>
  <c r="Y323" i="2"/>
  <c r="Z323" i="2"/>
  <c r="AA323" i="2"/>
  <c r="AB323" i="2"/>
  <c r="AC323" i="2"/>
  <c r="AD323" i="2"/>
  <c r="AE323" i="2"/>
  <c r="AF323" i="2"/>
  <c r="AG323" i="2"/>
  <c r="AH323" i="2"/>
  <c r="AI323" i="2"/>
  <c r="AJ323" i="2"/>
  <c r="AK323" i="2"/>
  <c r="AL323" i="2"/>
  <c r="AM323" i="2"/>
  <c r="AN323" i="2"/>
  <c r="AO323" i="2"/>
  <c r="AP323" i="2"/>
  <c r="AQ323" i="2"/>
  <c r="AR323" i="2"/>
  <c r="AS323" i="2"/>
  <c r="AT323" i="2"/>
  <c r="AU323" i="2"/>
  <c r="AV323" i="2"/>
  <c r="AW323" i="2"/>
  <c r="AX323" i="2"/>
  <c r="AY323" i="2"/>
  <c r="AZ323" i="2"/>
  <c r="BA323" i="2"/>
  <c r="BB323" i="2"/>
  <c r="BC323" i="2"/>
  <c r="BD323" i="2"/>
  <c r="BE323" i="2"/>
  <c r="BF323" i="2"/>
  <c r="BG323" i="2"/>
  <c r="BH323" i="2"/>
  <c r="BI323" i="2"/>
  <c r="BJ323" i="2"/>
  <c r="E324" i="2"/>
  <c r="F324" i="2"/>
  <c r="G324" i="2"/>
  <c r="H324" i="2"/>
  <c r="I324" i="2"/>
  <c r="J324" i="2"/>
  <c r="K324" i="2"/>
  <c r="L324" i="2"/>
  <c r="M324" i="2"/>
  <c r="N324" i="2"/>
  <c r="O324" i="2"/>
  <c r="P324" i="2"/>
  <c r="Q324" i="2"/>
  <c r="R324" i="2"/>
  <c r="S324" i="2"/>
  <c r="T324" i="2"/>
  <c r="U324" i="2"/>
  <c r="V324" i="2"/>
  <c r="W324" i="2"/>
  <c r="X324" i="2"/>
  <c r="Y324" i="2"/>
  <c r="Z324" i="2"/>
  <c r="AA324" i="2"/>
  <c r="AB324" i="2"/>
  <c r="AC324" i="2"/>
  <c r="AD324" i="2"/>
  <c r="AE324" i="2"/>
  <c r="AF324" i="2"/>
  <c r="AG324" i="2"/>
  <c r="AH324" i="2"/>
  <c r="AI324" i="2"/>
  <c r="AJ324" i="2"/>
  <c r="AK324" i="2"/>
  <c r="AL324" i="2"/>
  <c r="AM324" i="2"/>
  <c r="AN324" i="2"/>
  <c r="AO324" i="2"/>
  <c r="AP324" i="2"/>
  <c r="AQ324" i="2"/>
  <c r="AR324" i="2"/>
  <c r="AS324" i="2"/>
  <c r="AT324" i="2"/>
  <c r="AU324" i="2"/>
  <c r="AV324" i="2"/>
  <c r="AW324" i="2"/>
  <c r="AX324" i="2"/>
  <c r="AY324" i="2"/>
  <c r="AZ324" i="2"/>
  <c r="BA324" i="2"/>
  <c r="BB324" i="2"/>
  <c r="BC324" i="2"/>
  <c r="BD324" i="2"/>
  <c r="BE324" i="2"/>
  <c r="BF324" i="2"/>
  <c r="BG324" i="2"/>
  <c r="BH324" i="2"/>
  <c r="BI324" i="2"/>
  <c r="BJ324" i="2"/>
  <c r="E325" i="2"/>
  <c r="F325" i="2"/>
  <c r="G325" i="2"/>
  <c r="H325" i="2"/>
  <c r="I325" i="2"/>
  <c r="J325" i="2"/>
  <c r="K325" i="2"/>
  <c r="L325" i="2"/>
  <c r="M325" i="2"/>
  <c r="N325" i="2"/>
  <c r="O325" i="2"/>
  <c r="P325" i="2"/>
  <c r="Q325" i="2"/>
  <c r="R325" i="2"/>
  <c r="S325" i="2"/>
  <c r="T325" i="2"/>
  <c r="U325" i="2"/>
  <c r="V325" i="2"/>
  <c r="W325" i="2"/>
  <c r="X325" i="2"/>
  <c r="Y325" i="2"/>
  <c r="Z325" i="2"/>
  <c r="AA325" i="2"/>
  <c r="AB325" i="2"/>
  <c r="AC325" i="2"/>
  <c r="AD325" i="2"/>
  <c r="AE325" i="2"/>
  <c r="AF325" i="2"/>
  <c r="AG325" i="2"/>
  <c r="AH325" i="2"/>
  <c r="AI325" i="2"/>
  <c r="AJ325" i="2"/>
  <c r="AK325" i="2"/>
  <c r="AL325" i="2"/>
  <c r="AM325" i="2"/>
  <c r="AN325" i="2"/>
  <c r="AO325" i="2"/>
  <c r="AP325" i="2"/>
  <c r="AQ325" i="2"/>
  <c r="AR325" i="2"/>
  <c r="AS325" i="2"/>
  <c r="AT325" i="2"/>
  <c r="AU325" i="2"/>
  <c r="AV325" i="2"/>
  <c r="AW325" i="2"/>
  <c r="AX325" i="2"/>
  <c r="AY325" i="2"/>
  <c r="AZ325" i="2"/>
  <c r="BA325" i="2"/>
  <c r="BB325" i="2"/>
  <c r="BC325" i="2"/>
  <c r="BD325" i="2"/>
  <c r="BE325" i="2"/>
  <c r="BF325" i="2"/>
  <c r="BG325" i="2"/>
  <c r="BH325" i="2"/>
  <c r="BI325" i="2"/>
  <c r="BJ325" i="2"/>
  <c r="H326" i="2"/>
  <c r="I326" i="2"/>
  <c r="J326" i="2"/>
  <c r="K326" i="2"/>
  <c r="Q326" i="2"/>
  <c r="R326" i="2"/>
  <c r="S326" i="2"/>
  <c r="X326" i="2"/>
  <c r="Y326" i="2"/>
  <c r="Z326" i="2"/>
  <c r="AA326" i="2"/>
  <c r="AG326" i="2"/>
  <c r="AH326" i="2"/>
  <c r="AI326" i="2"/>
  <c r="AN326" i="2"/>
  <c r="AO326" i="2"/>
  <c r="AP326" i="2"/>
  <c r="AQ326" i="2"/>
  <c r="AW326" i="2"/>
  <c r="AX326" i="2"/>
  <c r="AY326" i="2"/>
  <c r="BD326" i="2"/>
  <c r="BE326" i="2"/>
  <c r="BF326" i="2"/>
  <c r="BG326" i="2"/>
  <c r="D329" i="2"/>
  <c r="E329" i="2"/>
  <c r="F329" i="2"/>
  <c r="G329" i="2"/>
  <c r="H329" i="2"/>
  <c r="I329" i="2"/>
  <c r="J329" i="2"/>
  <c r="K329" i="2"/>
  <c r="L329" i="2"/>
  <c r="M329" i="2"/>
  <c r="M336" i="2" s="1"/>
  <c r="N329" i="2"/>
  <c r="R336" i="2" s="1"/>
  <c r="O329" i="2"/>
  <c r="S336" i="2" s="1"/>
  <c r="P329" i="2"/>
  <c r="Q329" i="2"/>
  <c r="R329" i="2"/>
  <c r="S329" i="2"/>
  <c r="T329" i="2"/>
  <c r="U329" i="2"/>
  <c r="U336" i="2" s="1"/>
  <c r="V329" i="2"/>
  <c r="V343" i="2" s="1"/>
  <c r="W329" i="2"/>
  <c r="X329" i="2"/>
  <c r="Y329" i="2"/>
  <c r="Z329" i="2"/>
  <c r="AA329" i="2"/>
  <c r="AB329" i="2"/>
  <c r="AC329" i="2"/>
  <c r="AC336" i="2" s="1"/>
  <c r="AD329" i="2"/>
  <c r="AH336" i="2" s="1"/>
  <c r="AE329" i="2"/>
  <c r="AI336" i="2" s="1"/>
  <c r="AF329" i="2"/>
  <c r="AG329" i="2"/>
  <c r="AH329" i="2"/>
  <c r="AI329" i="2"/>
  <c r="AJ329" i="2"/>
  <c r="AK329" i="2"/>
  <c r="AK336" i="2" s="1"/>
  <c r="AL329" i="2"/>
  <c r="AM329" i="2"/>
  <c r="AN329" i="2"/>
  <c r="AO329" i="2"/>
  <c r="AP329" i="2"/>
  <c r="AQ329" i="2"/>
  <c r="AR329" i="2"/>
  <c r="AS329" i="2"/>
  <c r="AS336" i="2" s="1"/>
  <c r="AT329" i="2"/>
  <c r="AX336" i="2" s="1"/>
  <c r="AU329" i="2"/>
  <c r="AY336" i="2" s="1"/>
  <c r="AV329" i="2"/>
  <c r="AW329" i="2"/>
  <c r="AX329" i="2"/>
  <c r="AY329" i="2"/>
  <c r="AZ329" i="2"/>
  <c r="BA329" i="2"/>
  <c r="BA336" i="2" s="1"/>
  <c r="BB329" i="2"/>
  <c r="BC329" i="2"/>
  <c r="BC336" i="2" s="1"/>
  <c r="BD329" i="2"/>
  <c r="BE329" i="2"/>
  <c r="BF329" i="2"/>
  <c r="BG329" i="2"/>
  <c r="BH329" i="2"/>
  <c r="BI329" i="2"/>
  <c r="BI336" i="2" s="1"/>
  <c r="BJ329" i="2"/>
  <c r="BJ336" i="2" s="1"/>
  <c r="BS329" i="2"/>
  <c r="BX329" i="2"/>
  <c r="BY329" i="2"/>
  <c r="BY336" i="2" s="1"/>
  <c r="BZ329" i="2"/>
  <c r="BZ336" i="2" s="1"/>
  <c r="CA329" i="2"/>
  <c r="CA336" i="2" s="1"/>
  <c r="CB329" i="2"/>
  <c r="CB336" i="2" s="1"/>
  <c r="CE329" i="2"/>
  <c r="CF329" i="2"/>
  <c r="CG329" i="2"/>
  <c r="CG336" i="2" s="1"/>
  <c r="D330" i="2"/>
  <c r="H337" i="2" s="1"/>
  <c r="E330" i="2"/>
  <c r="I337" i="2" s="1"/>
  <c r="F330" i="2"/>
  <c r="G330" i="2"/>
  <c r="H330" i="2"/>
  <c r="I330" i="2"/>
  <c r="J330" i="2"/>
  <c r="K330" i="2"/>
  <c r="K337" i="2" s="1"/>
  <c r="L330" i="2"/>
  <c r="L344" i="2" s="1"/>
  <c r="M330" i="2"/>
  <c r="N330" i="2"/>
  <c r="O330" i="2"/>
  <c r="O337" i="2" s="1"/>
  <c r="P330" i="2"/>
  <c r="P337" i="2" s="1"/>
  <c r="Q330" i="2"/>
  <c r="R330" i="2"/>
  <c r="S330" i="2"/>
  <c r="W337" i="2" s="1"/>
  <c r="T330" i="2"/>
  <c r="X337" i="2" s="1"/>
  <c r="U330" i="2"/>
  <c r="U337" i="2" s="1"/>
  <c r="V330" i="2"/>
  <c r="W330" i="2"/>
  <c r="X330" i="2"/>
  <c r="Y330" i="2"/>
  <c r="Z330" i="2"/>
  <c r="AA330" i="2"/>
  <c r="AB330" i="2"/>
  <c r="AB344" i="2" s="1"/>
  <c r="AC330" i="2"/>
  <c r="AD330" i="2"/>
  <c r="AE330" i="2"/>
  <c r="AE337" i="2" s="1"/>
  <c r="AF330" i="2"/>
  <c r="AF337" i="2" s="1"/>
  <c r="AG330" i="2"/>
  <c r="AH330" i="2"/>
  <c r="AI330" i="2"/>
  <c r="AM337" i="2" s="1"/>
  <c r="AJ330" i="2"/>
  <c r="AN337" i="2" s="1"/>
  <c r="AK330" i="2"/>
  <c r="AK337" i="2" s="1"/>
  <c r="AL330" i="2"/>
  <c r="AM330" i="2"/>
  <c r="AN330" i="2"/>
  <c r="AO330" i="2"/>
  <c r="AP330" i="2"/>
  <c r="AQ330" i="2"/>
  <c r="AQ337" i="2" s="1"/>
  <c r="AR330" i="2"/>
  <c r="AR344" i="2" s="1"/>
  <c r="AS330" i="2"/>
  <c r="AT330" i="2"/>
  <c r="AU330" i="2"/>
  <c r="AU337" i="2" s="1"/>
  <c r="AV330" i="2"/>
  <c r="AV337" i="2" s="1"/>
  <c r="AW330" i="2"/>
  <c r="AX330" i="2"/>
  <c r="AY330" i="2"/>
  <c r="BC337" i="2" s="1"/>
  <c r="AZ330" i="2"/>
  <c r="BD337" i="2" s="1"/>
  <c r="BA330" i="2"/>
  <c r="BB330" i="2"/>
  <c r="BC330" i="2"/>
  <c r="BD330" i="2"/>
  <c r="BE330" i="2"/>
  <c r="BF330" i="2"/>
  <c r="BG330" i="2"/>
  <c r="BG344" i="2" s="1"/>
  <c r="BH330" i="2"/>
  <c r="BH344" i="2" s="1"/>
  <c r="BI330" i="2"/>
  <c r="BJ330" i="2"/>
  <c r="BS330" i="2"/>
  <c r="BT330" i="2"/>
  <c r="BT337" i="2" s="1"/>
  <c r="BU330" i="2"/>
  <c r="BV330" i="2"/>
  <c r="BV337" i="2" s="1"/>
  <c r="BW330" i="2"/>
  <c r="BX337" i="2" s="1"/>
  <c r="BX330" i="2"/>
  <c r="BY330" i="2"/>
  <c r="BY337" i="2" s="1"/>
  <c r="BZ330" i="2"/>
  <c r="CA330" i="2"/>
  <c r="CB330" i="2"/>
  <c r="CE330" i="2"/>
  <c r="CG330" i="2"/>
  <c r="D331" i="2"/>
  <c r="E345" i="2" s="1"/>
  <c r="E331" i="2"/>
  <c r="F331" i="2"/>
  <c r="G331" i="2"/>
  <c r="H331" i="2"/>
  <c r="I331" i="2"/>
  <c r="J331" i="2"/>
  <c r="J338" i="2" s="1"/>
  <c r="K331" i="2"/>
  <c r="K338" i="2" s="1"/>
  <c r="L331" i="2"/>
  <c r="M331" i="2"/>
  <c r="N331" i="2"/>
  <c r="O331" i="2"/>
  <c r="P331" i="2"/>
  <c r="Q331" i="2"/>
  <c r="R331" i="2"/>
  <c r="R345" i="2" s="1"/>
  <c r="S331" i="2"/>
  <c r="T331" i="2"/>
  <c r="U331" i="2"/>
  <c r="V331" i="2"/>
  <c r="W331" i="2"/>
  <c r="X331" i="2"/>
  <c r="Y331" i="2"/>
  <c r="Z331" i="2"/>
  <c r="Z338" i="2" s="1"/>
  <c r="AA331" i="2"/>
  <c r="AA338" i="2" s="1"/>
  <c r="AB331" i="2"/>
  <c r="AC331" i="2"/>
  <c r="AD331" i="2"/>
  <c r="AE331" i="2"/>
  <c r="AF331" i="2"/>
  <c r="AG331" i="2"/>
  <c r="AH331" i="2"/>
  <c r="AH345" i="2" s="1"/>
  <c r="AI331" i="2"/>
  <c r="AJ331" i="2"/>
  <c r="AK331" i="2"/>
  <c r="AL331" i="2"/>
  <c r="AM331" i="2"/>
  <c r="AN331" i="2"/>
  <c r="AO331" i="2"/>
  <c r="AP331" i="2"/>
  <c r="AP338" i="2" s="1"/>
  <c r="AQ331" i="2"/>
  <c r="AQ338" i="2" s="1"/>
  <c r="AR331" i="2"/>
  <c r="AS331" i="2"/>
  <c r="AT331" i="2"/>
  <c r="AU331" i="2"/>
  <c r="AV331" i="2"/>
  <c r="AW331" i="2"/>
  <c r="AX331" i="2"/>
  <c r="AX345" i="2" s="1"/>
  <c r="AY331" i="2"/>
  <c r="AZ331" i="2"/>
  <c r="BA331" i="2"/>
  <c r="BB331" i="2"/>
  <c r="BC331" i="2"/>
  <c r="BD331" i="2"/>
  <c r="BE331" i="2"/>
  <c r="BF331" i="2"/>
  <c r="BF338" i="2" s="1"/>
  <c r="BG331" i="2"/>
  <c r="BG338" i="2" s="1"/>
  <c r="BH331" i="2"/>
  <c r="BI331" i="2"/>
  <c r="BJ331" i="2"/>
  <c r="BS331" i="2"/>
  <c r="BT331" i="2"/>
  <c r="BU331" i="2"/>
  <c r="BV331" i="2"/>
  <c r="BW331" i="2"/>
  <c r="BX331" i="2"/>
  <c r="BY331" i="2"/>
  <c r="BZ331" i="2"/>
  <c r="CA331" i="2"/>
  <c r="CB331" i="2"/>
  <c r="CB338" i="2" s="1"/>
  <c r="CC331" i="2"/>
  <c r="CC338" i="2" s="1"/>
  <c r="CD331" i="2"/>
  <c r="CE331" i="2"/>
  <c r="CE338" i="2" s="1"/>
  <c r="D332" i="2"/>
  <c r="E332" i="2"/>
  <c r="F332" i="2"/>
  <c r="G332" i="2"/>
  <c r="G346" i="2" s="1"/>
  <c r="H332" i="2"/>
  <c r="I332" i="2"/>
  <c r="I346" i="2" s="1"/>
  <c r="J332" i="2"/>
  <c r="K332" i="2"/>
  <c r="L332" i="2"/>
  <c r="M332" i="2"/>
  <c r="N332" i="2"/>
  <c r="N339" i="2" s="1"/>
  <c r="O332" i="2"/>
  <c r="S339" i="2" s="1"/>
  <c r="P332" i="2"/>
  <c r="T339" i="2" s="1"/>
  <c r="Q332" i="2"/>
  <c r="R332" i="2"/>
  <c r="S332" i="2"/>
  <c r="T332" i="2"/>
  <c r="U332" i="2"/>
  <c r="V332" i="2"/>
  <c r="W332" i="2"/>
  <c r="W339" i="2" s="1"/>
  <c r="X332" i="2"/>
  <c r="Y332" i="2"/>
  <c r="Y346" i="2" s="1"/>
  <c r="Z332" i="2"/>
  <c r="AA332" i="2"/>
  <c r="AB332" i="2"/>
  <c r="AC332" i="2"/>
  <c r="AD332" i="2"/>
  <c r="AD339" i="2" s="1"/>
  <c r="AE332" i="2"/>
  <c r="AI339" i="2" s="1"/>
  <c r="AF332" i="2"/>
  <c r="AJ339" i="2" s="1"/>
  <c r="AG332" i="2"/>
  <c r="AH332" i="2"/>
  <c r="AI332" i="2"/>
  <c r="AJ332" i="2"/>
  <c r="AK332" i="2"/>
  <c r="AL332" i="2"/>
  <c r="AM332" i="2"/>
  <c r="AM339" i="2" s="1"/>
  <c r="AN332" i="2"/>
  <c r="AN339" i="2" s="1"/>
  <c r="AO332" i="2"/>
  <c r="AP332" i="2"/>
  <c r="AQ332" i="2"/>
  <c r="AR332" i="2"/>
  <c r="AS332" i="2"/>
  <c r="AT332" i="2"/>
  <c r="AT339" i="2" s="1"/>
  <c r="AU332" i="2"/>
  <c r="AY339" i="2" s="1"/>
  <c r="AV332" i="2"/>
  <c r="AZ339" i="2" s="1"/>
  <c r="AW332" i="2"/>
  <c r="AX332" i="2"/>
  <c r="AY332" i="2"/>
  <c r="AZ332" i="2"/>
  <c r="BA332" i="2"/>
  <c r="BB332" i="2"/>
  <c r="BC332" i="2"/>
  <c r="BC339" i="2" s="1"/>
  <c r="BD332" i="2"/>
  <c r="BE332" i="2"/>
  <c r="BF332" i="2"/>
  <c r="BG332" i="2"/>
  <c r="BH332" i="2"/>
  <c r="BI332" i="2"/>
  <c r="BJ332" i="2"/>
  <c r="BJ339" i="2" s="1"/>
  <c r="BS332" i="2"/>
  <c r="BT332" i="2"/>
  <c r="BT339" i="2" s="1"/>
  <c r="BU332" i="2"/>
  <c r="BV332" i="2"/>
  <c r="BW332" i="2"/>
  <c r="BX332" i="2"/>
  <c r="BY332" i="2"/>
  <c r="CA332" i="2"/>
  <c r="CB332" i="2"/>
  <c r="CB339" i="2" s="1"/>
  <c r="CC332" i="2"/>
  <c r="CD332" i="2"/>
  <c r="CE332" i="2"/>
  <c r="CF332" i="2"/>
  <c r="CG332" i="2"/>
  <c r="D333" i="2"/>
  <c r="H340" i="2" s="1"/>
  <c r="E333" i="2"/>
  <c r="I340" i="2" s="1"/>
  <c r="F333" i="2"/>
  <c r="J340" i="2" s="1"/>
  <c r="G333" i="2"/>
  <c r="H333" i="2"/>
  <c r="I333" i="2"/>
  <c r="J333" i="2"/>
  <c r="K333" i="2"/>
  <c r="M333" i="2"/>
  <c r="N333" i="2"/>
  <c r="O333" i="2"/>
  <c r="S340" i="2" s="1"/>
  <c r="P333" i="2"/>
  <c r="Q333" i="2"/>
  <c r="R333" i="2"/>
  <c r="R340" i="2" s="1"/>
  <c r="S333" i="2"/>
  <c r="T333" i="2"/>
  <c r="U333" i="2"/>
  <c r="Y340" i="2" s="1"/>
  <c r="V333" i="2"/>
  <c r="V340" i="2" s="1"/>
  <c r="W333" i="2"/>
  <c r="W347" i="2" s="1"/>
  <c r="X333" i="2"/>
  <c r="Y333" i="2"/>
  <c r="Z333" i="2"/>
  <c r="AA333" i="2"/>
  <c r="AC333" i="2"/>
  <c r="AC340" i="2" s="1"/>
  <c r="AD333" i="2"/>
  <c r="AE333" i="2"/>
  <c r="AF333" i="2"/>
  <c r="AG333" i="2"/>
  <c r="AG340" i="2" s="1"/>
  <c r="AH333" i="2"/>
  <c r="AI333" i="2"/>
  <c r="AJ333" i="2"/>
  <c r="AJ347" i="2" s="1"/>
  <c r="AK333" i="2"/>
  <c r="AO340" i="2" s="1"/>
  <c r="AL333" i="2"/>
  <c r="AM333" i="2"/>
  <c r="AM340" i="2" s="1"/>
  <c r="AN333" i="2"/>
  <c r="AO333" i="2"/>
  <c r="AP333" i="2"/>
  <c r="AQ333" i="2"/>
  <c r="AS333" i="2"/>
  <c r="AT333" i="2"/>
  <c r="AU333" i="2"/>
  <c r="AV333" i="2"/>
  <c r="AW333" i="2"/>
  <c r="AW340" i="2" s="1"/>
  <c r="AX333" i="2"/>
  <c r="AX340" i="2" s="1"/>
  <c r="AY333" i="2"/>
  <c r="AZ333" i="2"/>
  <c r="BD340" i="2" s="1"/>
  <c r="BA333" i="2"/>
  <c r="BE340" i="2" s="1"/>
  <c r="BB333" i="2"/>
  <c r="BB347" i="2" s="1"/>
  <c r="BC333" i="2"/>
  <c r="BC340" i="2" s="1"/>
  <c r="BD333" i="2"/>
  <c r="BE333" i="2"/>
  <c r="BF333" i="2"/>
  <c r="BG333" i="2"/>
  <c r="BI333" i="2"/>
  <c r="BJ333" i="2"/>
  <c r="BS333" i="2"/>
  <c r="BY333" i="2"/>
  <c r="CG333" i="2"/>
  <c r="H336" i="2"/>
  <c r="I336" i="2"/>
  <c r="J336" i="2"/>
  <c r="N336" i="2"/>
  <c r="O336" i="2"/>
  <c r="P336" i="2"/>
  <c r="Q336" i="2"/>
  <c r="T336" i="2"/>
  <c r="X336" i="2"/>
  <c r="Y336" i="2"/>
  <c r="Z336" i="2"/>
  <c r="AD336" i="2"/>
  <c r="AF336" i="2"/>
  <c r="AG336" i="2"/>
  <c r="AJ336" i="2"/>
  <c r="AM336" i="2"/>
  <c r="AN336" i="2"/>
  <c r="AO336" i="2"/>
  <c r="AP336" i="2"/>
  <c r="AT336" i="2"/>
  <c r="AU336" i="2"/>
  <c r="AV336" i="2"/>
  <c r="AZ336" i="2"/>
  <c r="BD336" i="2"/>
  <c r="BE336" i="2"/>
  <c r="BF336" i="2"/>
  <c r="BT336" i="2"/>
  <c r="CF336" i="2"/>
  <c r="J337" i="2"/>
  <c r="L337" i="2"/>
  <c r="S337" i="2"/>
  <c r="T337" i="2"/>
  <c r="V337" i="2"/>
  <c r="Y337" i="2"/>
  <c r="Z337" i="2"/>
  <c r="AA337" i="2"/>
  <c r="AB337" i="2"/>
  <c r="AH337" i="2"/>
  <c r="AI337" i="2"/>
  <c r="AJ337" i="2"/>
  <c r="AL337" i="2"/>
  <c r="AO337" i="2"/>
  <c r="AP337" i="2"/>
  <c r="AR337" i="2"/>
  <c r="AZ337" i="2"/>
  <c r="BA337" i="2"/>
  <c r="BB337" i="2"/>
  <c r="BE337" i="2"/>
  <c r="BF337" i="2"/>
  <c r="BG337" i="2"/>
  <c r="BH337" i="2"/>
  <c r="BW337" i="2"/>
  <c r="BZ337" i="2"/>
  <c r="CA337" i="2"/>
  <c r="CB337" i="2"/>
  <c r="N338" i="2"/>
  <c r="O338" i="2"/>
  <c r="P338" i="2"/>
  <c r="Q338" i="2"/>
  <c r="R338" i="2"/>
  <c r="T338" i="2"/>
  <c r="U338" i="2"/>
  <c r="V338" i="2"/>
  <c r="AD338" i="2"/>
  <c r="AE338" i="2"/>
  <c r="AF338" i="2"/>
  <c r="AG338" i="2"/>
  <c r="AH338" i="2"/>
  <c r="AJ338" i="2"/>
  <c r="AK338" i="2"/>
  <c r="AL338" i="2"/>
  <c r="AM338" i="2"/>
  <c r="AT338" i="2"/>
  <c r="AU338" i="2"/>
  <c r="AV338" i="2"/>
  <c r="AW338" i="2"/>
  <c r="AX338" i="2"/>
  <c r="BA338" i="2"/>
  <c r="BB338" i="2"/>
  <c r="BJ338" i="2"/>
  <c r="BT338" i="2"/>
  <c r="BU338" i="2"/>
  <c r="BV338" i="2"/>
  <c r="BW338" i="2"/>
  <c r="BY338" i="2"/>
  <c r="BZ338" i="2"/>
  <c r="CA338" i="2"/>
  <c r="H339" i="2"/>
  <c r="I339" i="2"/>
  <c r="L339" i="2"/>
  <c r="M339" i="2"/>
  <c r="V339" i="2"/>
  <c r="X339" i="2"/>
  <c r="Y339" i="2"/>
  <c r="Z339" i="2"/>
  <c r="AA339" i="2"/>
  <c r="AB339" i="2"/>
  <c r="AC339" i="2"/>
  <c r="AH339" i="2"/>
  <c r="AL339" i="2"/>
  <c r="AO339" i="2"/>
  <c r="AP339" i="2"/>
  <c r="AR339" i="2"/>
  <c r="AS339" i="2"/>
  <c r="AU339" i="2"/>
  <c r="AV339" i="2"/>
  <c r="AW339" i="2"/>
  <c r="BB339" i="2"/>
  <c r="BD339" i="2"/>
  <c r="BE339" i="2"/>
  <c r="BG339" i="2"/>
  <c r="BH339" i="2"/>
  <c r="BI339" i="2"/>
  <c r="BW339" i="2"/>
  <c r="BX339" i="2"/>
  <c r="BY339" i="2"/>
  <c r="CD339" i="2"/>
  <c r="CE339" i="2"/>
  <c r="CF339" i="2"/>
  <c r="CG339" i="2"/>
  <c r="K340" i="2"/>
  <c r="M340" i="2"/>
  <c r="T340" i="2"/>
  <c r="U340" i="2"/>
  <c r="X340" i="2"/>
  <c r="Z340" i="2"/>
  <c r="AA340" i="2"/>
  <c r="AI340" i="2"/>
  <c r="AL340" i="2"/>
  <c r="AP340" i="2"/>
  <c r="AS340" i="2"/>
  <c r="AY340" i="2"/>
  <c r="AZ340" i="2"/>
  <c r="BA340" i="2"/>
  <c r="BB340" i="2"/>
  <c r="BI340" i="2"/>
  <c r="E343" i="2"/>
  <c r="J343" i="2"/>
  <c r="K343" i="2"/>
  <c r="L343" i="2"/>
  <c r="N343" i="2"/>
  <c r="O343" i="2"/>
  <c r="P343" i="2"/>
  <c r="Q343" i="2"/>
  <c r="R343" i="2"/>
  <c r="S343" i="2"/>
  <c r="T343" i="2"/>
  <c r="U343" i="2"/>
  <c r="Z343" i="2"/>
  <c r="AA343" i="2"/>
  <c r="AB343" i="2"/>
  <c r="AC343" i="2"/>
  <c r="AF343" i="2"/>
  <c r="AG343" i="2"/>
  <c r="AH343" i="2"/>
  <c r="AI343" i="2"/>
  <c r="AJ343" i="2"/>
  <c r="AK343" i="2"/>
  <c r="AP343" i="2"/>
  <c r="AQ343" i="2"/>
  <c r="AR343" i="2"/>
  <c r="AS343" i="2"/>
  <c r="AT343" i="2"/>
  <c r="AU343" i="2"/>
  <c r="AV343" i="2"/>
  <c r="AW343" i="2"/>
  <c r="AX343" i="2"/>
  <c r="AY343" i="2"/>
  <c r="AZ343" i="2"/>
  <c r="BA343" i="2"/>
  <c r="BF343" i="2"/>
  <c r="BG343" i="2"/>
  <c r="BH343" i="2"/>
  <c r="BJ343" i="2"/>
  <c r="E344" i="2"/>
  <c r="F344" i="2"/>
  <c r="G344" i="2"/>
  <c r="H344" i="2"/>
  <c r="I344" i="2"/>
  <c r="J344" i="2"/>
  <c r="K344" i="2"/>
  <c r="P344" i="2"/>
  <c r="Q344" i="2"/>
  <c r="R344" i="2"/>
  <c r="S344" i="2"/>
  <c r="T344" i="2"/>
  <c r="U344" i="2"/>
  <c r="V344" i="2"/>
  <c r="W344" i="2"/>
  <c r="X344" i="2"/>
  <c r="Y344" i="2"/>
  <c r="Z344" i="2"/>
  <c r="AA344" i="2"/>
  <c r="AF344" i="2"/>
  <c r="AG344" i="2"/>
  <c r="AH344" i="2"/>
  <c r="AI344" i="2"/>
  <c r="AL344" i="2"/>
  <c r="AM344" i="2"/>
  <c r="AN344" i="2"/>
  <c r="AO344" i="2"/>
  <c r="AP344" i="2"/>
  <c r="AV344" i="2"/>
  <c r="AW344" i="2"/>
  <c r="AX344" i="2"/>
  <c r="AY344" i="2"/>
  <c r="AZ344" i="2"/>
  <c r="BA344" i="2"/>
  <c r="BB344" i="2"/>
  <c r="BC344" i="2"/>
  <c r="BD344" i="2"/>
  <c r="BE344" i="2"/>
  <c r="BF344" i="2"/>
  <c r="F345" i="2"/>
  <c r="G345" i="2"/>
  <c r="K345" i="2"/>
  <c r="L345" i="2"/>
  <c r="M345" i="2"/>
  <c r="N345" i="2"/>
  <c r="O345" i="2"/>
  <c r="P345" i="2"/>
  <c r="Q345" i="2"/>
  <c r="V345" i="2"/>
  <c r="W345" i="2"/>
  <c r="AA345" i="2"/>
  <c r="AB345" i="2"/>
  <c r="AC345" i="2"/>
  <c r="AD345" i="2"/>
  <c r="AE345" i="2"/>
  <c r="AF345" i="2"/>
  <c r="AG345" i="2"/>
  <c r="AL345" i="2"/>
  <c r="AM345" i="2"/>
  <c r="AN345" i="2"/>
  <c r="AO345" i="2"/>
  <c r="AQ345" i="2"/>
  <c r="AR345" i="2"/>
  <c r="AS345" i="2"/>
  <c r="AT345" i="2"/>
  <c r="AU345" i="2"/>
  <c r="AV345" i="2"/>
  <c r="AW345" i="2"/>
  <c r="BB345" i="2"/>
  <c r="BC345" i="2"/>
  <c r="BD345" i="2"/>
  <c r="BG345" i="2"/>
  <c r="BH345" i="2"/>
  <c r="BI345" i="2"/>
  <c r="BJ345" i="2"/>
  <c r="E346" i="2"/>
  <c r="F346" i="2"/>
  <c r="L346" i="2"/>
  <c r="M346" i="2"/>
  <c r="S346" i="2"/>
  <c r="T346" i="2"/>
  <c r="U346" i="2"/>
  <c r="V346" i="2"/>
  <c r="W346" i="2"/>
  <c r="AB346" i="2"/>
  <c r="AC346" i="2"/>
  <c r="AI346" i="2"/>
  <c r="AJ346" i="2"/>
  <c r="AK346" i="2"/>
  <c r="AL346" i="2"/>
  <c r="AR346" i="2"/>
  <c r="AS346" i="2"/>
  <c r="AT346" i="2"/>
  <c r="AU346" i="2"/>
  <c r="AY346" i="2"/>
  <c r="AZ346" i="2"/>
  <c r="BA346" i="2"/>
  <c r="BB346" i="2"/>
  <c r="BH346" i="2"/>
  <c r="BI346" i="2"/>
  <c r="BJ346" i="2"/>
  <c r="G347" i="2"/>
  <c r="H347" i="2"/>
  <c r="I347" i="2"/>
  <c r="J347" i="2"/>
  <c r="K347" i="2"/>
  <c r="R347" i="2"/>
  <c r="S347" i="2"/>
  <c r="T347" i="2"/>
  <c r="V347" i="2"/>
  <c r="Y347" i="2"/>
  <c r="Z347" i="2"/>
  <c r="AA347" i="2"/>
  <c r="AH347" i="2"/>
  <c r="AI347" i="2"/>
  <c r="AL347" i="2"/>
  <c r="AM347" i="2"/>
  <c r="AO347" i="2"/>
  <c r="AP347" i="2"/>
  <c r="AQ347" i="2"/>
  <c r="AX347" i="2"/>
  <c r="AY347" i="2"/>
  <c r="AZ347" i="2"/>
  <c r="BA347" i="2"/>
  <c r="BE347" i="2"/>
  <c r="BF347" i="2"/>
  <c r="BG347" i="2"/>
  <c r="CB350" i="2"/>
  <c r="CC350" i="2"/>
  <c r="CD350" i="2"/>
  <c r="CE350" i="2"/>
  <c r="CF350" i="2"/>
  <c r="CF355" i="2" s="1"/>
  <c r="CG350" i="2"/>
  <c r="CG355" i="2" s="1"/>
  <c r="CB351" i="2"/>
  <c r="CC351" i="2"/>
  <c r="CD356" i="2" s="1"/>
  <c r="CD351" i="2"/>
  <c r="CE351" i="2"/>
  <c r="CF351" i="2"/>
  <c r="CG356" i="2" s="1"/>
  <c r="CG351" i="2"/>
  <c r="AM352" i="2"/>
  <c r="AN352" i="2"/>
  <c r="AN362" i="2" s="1"/>
  <c r="AO352" i="2"/>
  <c r="AP352" i="2"/>
  <c r="AQ352" i="2"/>
  <c r="AQ357" i="2" s="1"/>
  <c r="AR352" i="2"/>
  <c r="AS352" i="2"/>
  <c r="AS362" i="2" s="1"/>
  <c r="AT352" i="2"/>
  <c r="AT362" i="2" s="1"/>
  <c r="AU352" i="2"/>
  <c r="AU362" i="2" s="1"/>
  <c r="AV352" i="2"/>
  <c r="AV362" i="2" s="1"/>
  <c r="AW352" i="2"/>
  <c r="AW362" i="2" s="1"/>
  <c r="AX352" i="2"/>
  <c r="AY352" i="2"/>
  <c r="AZ352" i="2"/>
  <c r="CF352" i="2" s="1"/>
  <c r="CF357" i="2" s="1"/>
  <c r="BA352" i="2"/>
  <c r="CG352" i="2" s="1"/>
  <c r="BB352" i="2"/>
  <c r="BC352" i="2"/>
  <c r="BC357" i="2" s="1"/>
  <c r="BD352" i="2"/>
  <c r="BD357" i="2" s="1"/>
  <c r="BE352" i="2"/>
  <c r="BE357" i="2" s="1"/>
  <c r="BF352" i="2"/>
  <c r="BG352" i="2"/>
  <c r="BG357" i="2" s="1"/>
  <c r="BH352" i="2"/>
  <c r="BI352" i="2"/>
  <c r="BI362" i="2" s="1"/>
  <c r="BJ352" i="2"/>
  <c r="BJ362" i="2" s="1"/>
  <c r="CB352" i="2"/>
  <c r="CC352" i="2"/>
  <c r="CC357" i="2" s="1"/>
  <c r="CD352" i="2"/>
  <c r="CD357" i="2" s="1"/>
  <c r="CE352" i="2"/>
  <c r="CE357" i="2" s="1"/>
  <c r="AQ355" i="2"/>
  <c r="AR355" i="2"/>
  <c r="AS355" i="2"/>
  <c r="AT355" i="2"/>
  <c r="AU355" i="2"/>
  <c r="AV355" i="2"/>
  <c r="AW355" i="2"/>
  <c r="AX355" i="2"/>
  <c r="AY355" i="2"/>
  <c r="AZ355" i="2"/>
  <c r="BA355" i="2"/>
  <c r="BB355" i="2"/>
  <c r="BC355" i="2"/>
  <c r="BD355" i="2"/>
  <c r="BE355" i="2"/>
  <c r="BF355" i="2"/>
  <c r="BG355" i="2"/>
  <c r="BH355" i="2"/>
  <c r="BI355" i="2"/>
  <c r="BJ355" i="2"/>
  <c r="CC355" i="2"/>
  <c r="CD355" i="2"/>
  <c r="CE355" i="2"/>
  <c r="AQ356" i="2"/>
  <c r="AR356" i="2"/>
  <c r="AS356" i="2"/>
  <c r="AT356" i="2"/>
  <c r="AU356" i="2"/>
  <c r="AV356" i="2"/>
  <c r="AW356" i="2"/>
  <c r="AX356" i="2"/>
  <c r="AY356" i="2"/>
  <c r="AZ356" i="2"/>
  <c r="BA356" i="2"/>
  <c r="BB356" i="2"/>
  <c r="BC356" i="2"/>
  <c r="BD356" i="2"/>
  <c r="BE356" i="2"/>
  <c r="BF356" i="2"/>
  <c r="BG356" i="2"/>
  <c r="BH356" i="2"/>
  <c r="BI356" i="2"/>
  <c r="BJ356" i="2"/>
  <c r="CC356" i="2"/>
  <c r="CE356" i="2"/>
  <c r="CF356" i="2"/>
  <c r="AR357" i="2"/>
  <c r="AY357" i="2"/>
  <c r="AZ357" i="2"/>
  <c r="BA357" i="2"/>
  <c r="BB357" i="2"/>
  <c r="BF357" i="2"/>
  <c r="BH357" i="2"/>
  <c r="AN360" i="2"/>
  <c r="AO360" i="2"/>
  <c r="AP360" i="2"/>
  <c r="AQ360" i="2"/>
  <c r="AR360" i="2"/>
  <c r="AS360" i="2"/>
  <c r="AT360" i="2"/>
  <c r="AU360" i="2"/>
  <c r="AV360" i="2"/>
  <c r="AW360" i="2"/>
  <c r="AX360" i="2"/>
  <c r="AY360" i="2"/>
  <c r="AZ360" i="2"/>
  <c r="BA360" i="2"/>
  <c r="BB360" i="2"/>
  <c r="BC360" i="2"/>
  <c r="BD360" i="2"/>
  <c r="BE360" i="2"/>
  <c r="BF360" i="2"/>
  <c r="BG360" i="2"/>
  <c r="BH360" i="2"/>
  <c r="BI360" i="2"/>
  <c r="BJ360" i="2"/>
  <c r="AN361" i="2"/>
  <c r="AO361" i="2"/>
  <c r="AP361" i="2"/>
  <c r="AQ361" i="2"/>
  <c r="AR361" i="2"/>
  <c r="AS361" i="2"/>
  <c r="AT361" i="2"/>
  <c r="AU361" i="2"/>
  <c r="AV361" i="2"/>
  <c r="AW361" i="2"/>
  <c r="AX361" i="2"/>
  <c r="AY361" i="2"/>
  <c r="AZ361" i="2"/>
  <c r="BA361" i="2"/>
  <c r="BB361" i="2"/>
  <c r="BC361" i="2"/>
  <c r="BD361" i="2"/>
  <c r="BE361" i="2"/>
  <c r="BF361" i="2"/>
  <c r="BG361" i="2"/>
  <c r="BH361" i="2"/>
  <c r="BI361" i="2"/>
  <c r="BJ361" i="2"/>
  <c r="AP362" i="2"/>
  <c r="AQ362" i="2"/>
  <c r="AR362" i="2"/>
  <c r="BA362" i="2"/>
  <c r="BB362" i="2"/>
  <c r="BC362" i="2"/>
  <c r="BF362" i="2"/>
  <c r="BG362" i="2"/>
  <c r="BH362" i="2"/>
  <c r="D367" i="2"/>
  <c r="E367" i="2"/>
  <c r="F367" i="2"/>
  <c r="G367" i="2"/>
  <c r="H367" i="2"/>
  <c r="I367" i="2"/>
  <c r="J367" i="2"/>
  <c r="J374" i="2" s="1"/>
  <c r="K367" i="2"/>
  <c r="K374" i="2" s="1"/>
  <c r="L367" i="2"/>
  <c r="L374" i="2" s="1"/>
  <c r="M367" i="2"/>
  <c r="N367" i="2"/>
  <c r="O367" i="2"/>
  <c r="O374" i="2" s="1"/>
  <c r="P367" i="2"/>
  <c r="Q367" i="2"/>
  <c r="R367" i="2"/>
  <c r="S367" i="2"/>
  <c r="T367" i="2"/>
  <c r="BX367" i="2" s="1"/>
  <c r="U367" i="2"/>
  <c r="V367" i="2"/>
  <c r="W367" i="2"/>
  <c r="W374" i="2" s="1"/>
  <c r="X367" i="2"/>
  <c r="BY367" i="2" s="1"/>
  <c r="BY374" i="2" s="1"/>
  <c r="Y367" i="2"/>
  <c r="Z367" i="2"/>
  <c r="Z374" i="2" s="1"/>
  <c r="AA367" i="2"/>
  <c r="AA374" i="2" s="1"/>
  <c r="AB367" i="2"/>
  <c r="BZ367" i="2" s="1"/>
  <c r="AC367" i="2"/>
  <c r="AD367" i="2"/>
  <c r="AE367" i="2"/>
  <c r="AE374" i="2" s="1"/>
  <c r="AF367" i="2"/>
  <c r="AG367" i="2"/>
  <c r="AH367" i="2"/>
  <c r="AI367" i="2"/>
  <c r="AJ367" i="2"/>
  <c r="AK367" i="2"/>
  <c r="AL367" i="2"/>
  <c r="AM367" i="2"/>
  <c r="AM374" i="2" s="1"/>
  <c r="AN367" i="2"/>
  <c r="AO367" i="2"/>
  <c r="AP367" i="2"/>
  <c r="AP374" i="2" s="1"/>
  <c r="AQ367" i="2"/>
  <c r="AQ374" i="2" s="1"/>
  <c r="AR367" i="2"/>
  <c r="AR374" i="2" s="1"/>
  <c r="AS367" i="2"/>
  <c r="AT367" i="2"/>
  <c r="AU367" i="2"/>
  <c r="AU374" i="2" s="1"/>
  <c r="AV367" i="2"/>
  <c r="AV374" i="2" s="1"/>
  <c r="AW367" i="2"/>
  <c r="AX367" i="2"/>
  <c r="AY367" i="2"/>
  <c r="AZ367" i="2"/>
  <c r="BA367" i="2"/>
  <c r="BB367" i="2"/>
  <c r="BC367" i="2"/>
  <c r="CF367" i="2" s="1"/>
  <c r="BD367" i="2"/>
  <c r="BE367" i="2"/>
  <c r="BF367" i="2"/>
  <c r="BF374" i="2" s="1"/>
  <c r="BG367" i="2"/>
  <c r="BG374" i="2" s="1"/>
  <c r="BH367" i="2"/>
  <c r="BH374" i="2" s="1"/>
  <c r="BI367" i="2"/>
  <c r="BJ367" i="2"/>
  <c r="BT367" i="2"/>
  <c r="BU367" i="2"/>
  <c r="BU374" i="2" s="1"/>
  <c r="BV367" i="2"/>
  <c r="BV374" i="2" s="1"/>
  <c r="CB367" i="2"/>
  <c r="D368" i="2"/>
  <c r="BT368" i="2" s="1"/>
  <c r="E368" i="2"/>
  <c r="I375" i="2" s="1"/>
  <c r="F368" i="2"/>
  <c r="G368" i="2"/>
  <c r="K375" i="2" s="1"/>
  <c r="H368" i="2"/>
  <c r="I368" i="2"/>
  <c r="J368" i="2"/>
  <c r="K368" i="2"/>
  <c r="L368" i="2"/>
  <c r="M368" i="2"/>
  <c r="N368" i="2"/>
  <c r="BV368" i="2" s="1"/>
  <c r="O368" i="2"/>
  <c r="P368" i="2"/>
  <c r="Q368" i="2"/>
  <c r="R368" i="2"/>
  <c r="S368" i="2"/>
  <c r="T368" i="2"/>
  <c r="U368" i="2"/>
  <c r="U375" i="2" s="1"/>
  <c r="V368" i="2"/>
  <c r="V375" i="2" s="1"/>
  <c r="W368" i="2"/>
  <c r="W375" i="2" s="1"/>
  <c r="X368" i="2"/>
  <c r="Y368" i="2"/>
  <c r="Z368" i="2"/>
  <c r="AA368" i="2"/>
  <c r="AB368" i="2"/>
  <c r="AC368" i="2"/>
  <c r="AD368" i="2"/>
  <c r="AD375" i="2" s="1"/>
  <c r="AE368" i="2"/>
  <c r="AF368" i="2"/>
  <c r="AG368" i="2"/>
  <c r="AH368" i="2"/>
  <c r="AI368" i="2"/>
  <c r="AJ368" i="2"/>
  <c r="AK368" i="2"/>
  <c r="AK375" i="2" s="1"/>
  <c r="AL368" i="2"/>
  <c r="AL375" i="2" s="1"/>
  <c r="AM368" i="2"/>
  <c r="AM375" i="2" s="1"/>
  <c r="AN368" i="2"/>
  <c r="AO368" i="2"/>
  <c r="AP368" i="2"/>
  <c r="AQ368" i="2"/>
  <c r="AR368" i="2"/>
  <c r="CD368" i="2" s="1"/>
  <c r="AS368" i="2"/>
  <c r="AT368" i="2"/>
  <c r="AT375" i="2" s="1"/>
  <c r="AU368" i="2"/>
  <c r="AV368" i="2"/>
  <c r="AW368" i="2"/>
  <c r="CE368" i="2" s="1"/>
  <c r="AX368" i="2"/>
  <c r="AY368" i="2"/>
  <c r="AZ368" i="2"/>
  <c r="CF368" i="2" s="1"/>
  <c r="CF375" i="2" s="1"/>
  <c r="BA368" i="2"/>
  <c r="BA375" i="2" s="1"/>
  <c r="BB368" i="2"/>
  <c r="BB375" i="2" s="1"/>
  <c r="BC368" i="2"/>
  <c r="BC375" i="2" s="1"/>
  <c r="BD368" i="2"/>
  <c r="BE368" i="2"/>
  <c r="BF368" i="2"/>
  <c r="BG368" i="2"/>
  <c r="BH368" i="2"/>
  <c r="BI368" i="2"/>
  <c r="BJ368" i="2"/>
  <c r="BJ375" i="2" s="1"/>
  <c r="BW368" i="2"/>
  <c r="CA368" i="2"/>
  <c r="D369" i="2"/>
  <c r="E369" i="2"/>
  <c r="I376" i="2" s="1"/>
  <c r="F369" i="2"/>
  <c r="G369" i="2"/>
  <c r="H369" i="2"/>
  <c r="BU369" i="2" s="1"/>
  <c r="BU376" i="2" s="1"/>
  <c r="I369" i="2"/>
  <c r="J369" i="2"/>
  <c r="K369" i="2"/>
  <c r="L369" i="2"/>
  <c r="BV369" i="2" s="1"/>
  <c r="BW376" i="2" s="1"/>
  <c r="M369" i="2"/>
  <c r="Q376" i="2" s="1"/>
  <c r="N369" i="2"/>
  <c r="R376" i="2" s="1"/>
  <c r="O369" i="2"/>
  <c r="P369" i="2"/>
  <c r="Q369" i="2"/>
  <c r="R369" i="2"/>
  <c r="S369" i="2"/>
  <c r="T369" i="2"/>
  <c r="BX369" i="2" s="1"/>
  <c r="BX376" i="2" s="1"/>
  <c r="U369" i="2"/>
  <c r="U376" i="2" s="1"/>
  <c r="V369" i="2"/>
  <c r="W369" i="2"/>
  <c r="X369" i="2"/>
  <c r="BY369" i="2" s="1"/>
  <c r="Y369" i="2"/>
  <c r="Z369" i="2"/>
  <c r="AA369" i="2"/>
  <c r="AB369" i="2"/>
  <c r="AB376" i="2" s="1"/>
  <c r="AC369" i="2"/>
  <c r="AG376" i="2" s="1"/>
  <c r="AD369" i="2"/>
  <c r="AH376" i="2" s="1"/>
  <c r="AE369" i="2"/>
  <c r="AF369" i="2"/>
  <c r="AG369" i="2"/>
  <c r="AH369" i="2"/>
  <c r="AI369" i="2"/>
  <c r="AJ369" i="2"/>
  <c r="AJ376" i="2" s="1"/>
  <c r="AK369" i="2"/>
  <c r="AK376" i="2" s="1"/>
  <c r="AL369" i="2"/>
  <c r="AM369" i="2"/>
  <c r="AN369" i="2"/>
  <c r="AN376" i="2" s="1"/>
  <c r="AO369" i="2"/>
  <c r="AP369" i="2"/>
  <c r="AQ369" i="2"/>
  <c r="AR369" i="2"/>
  <c r="CD369" i="2" s="1"/>
  <c r="AS369" i="2"/>
  <c r="AW376" i="2" s="1"/>
  <c r="AT369" i="2"/>
  <c r="AX376" i="2" s="1"/>
  <c r="AU369" i="2"/>
  <c r="AV369" i="2"/>
  <c r="AW369" i="2"/>
  <c r="AX369" i="2"/>
  <c r="AY369" i="2"/>
  <c r="AZ369" i="2"/>
  <c r="AZ376" i="2" s="1"/>
  <c r="BA369" i="2"/>
  <c r="BA376" i="2" s="1"/>
  <c r="BB369" i="2"/>
  <c r="BC369" i="2"/>
  <c r="BD369" i="2"/>
  <c r="BD376" i="2" s="1"/>
  <c r="BE369" i="2"/>
  <c r="BF369" i="2"/>
  <c r="BG369" i="2"/>
  <c r="BH369" i="2"/>
  <c r="BH376" i="2" s="1"/>
  <c r="BI369" i="2"/>
  <c r="BI376" i="2" s="1"/>
  <c r="BJ369" i="2"/>
  <c r="BT369" i="2"/>
  <c r="BW369" i="2"/>
  <c r="CA369" i="2"/>
  <c r="CC369" i="2"/>
  <c r="CE369" i="2"/>
  <c r="CG369" i="2"/>
  <c r="D370" i="2"/>
  <c r="BT370" i="2" s="1"/>
  <c r="E370" i="2"/>
  <c r="F370" i="2"/>
  <c r="J377" i="2" s="1"/>
  <c r="G370" i="2"/>
  <c r="H370" i="2"/>
  <c r="I370" i="2"/>
  <c r="J370" i="2"/>
  <c r="K370" i="2"/>
  <c r="L370" i="2"/>
  <c r="BV370" i="2" s="1"/>
  <c r="BV377" i="2" s="1"/>
  <c r="M370" i="2"/>
  <c r="M377" i="2" s="1"/>
  <c r="N370" i="2"/>
  <c r="O370" i="2"/>
  <c r="O377" i="2" s="1"/>
  <c r="P370" i="2"/>
  <c r="P377" i="2" s="1"/>
  <c r="Q370" i="2"/>
  <c r="R370" i="2"/>
  <c r="S370" i="2"/>
  <c r="S377" i="2" s="1"/>
  <c r="T370" i="2"/>
  <c r="T377" i="2" s="1"/>
  <c r="U370" i="2"/>
  <c r="V370" i="2"/>
  <c r="W370" i="2"/>
  <c r="X370" i="2"/>
  <c r="Y370" i="2"/>
  <c r="Z370" i="2"/>
  <c r="AA370" i="2"/>
  <c r="AB370" i="2"/>
  <c r="BZ370" i="2" s="1"/>
  <c r="BZ377" i="2" s="1"/>
  <c r="AC370" i="2"/>
  <c r="AC377" i="2" s="1"/>
  <c r="AD370" i="2"/>
  <c r="AE370" i="2"/>
  <c r="AE377" i="2" s="1"/>
  <c r="AF370" i="2"/>
  <c r="AF377" i="2" s="1"/>
  <c r="AG370" i="2"/>
  <c r="AH370" i="2"/>
  <c r="AI370" i="2"/>
  <c r="AI377" i="2" s="1"/>
  <c r="AJ370" i="2"/>
  <c r="AK370" i="2"/>
  <c r="AL370" i="2"/>
  <c r="AM370" i="2"/>
  <c r="AN370" i="2"/>
  <c r="AO370" i="2"/>
  <c r="CC370" i="2" s="1"/>
  <c r="AP370" i="2"/>
  <c r="AQ370" i="2"/>
  <c r="AR370" i="2"/>
  <c r="CD370" i="2" s="1"/>
  <c r="CD377" i="2" s="1"/>
  <c r="AS370" i="2"/>
  <c r="AS377" i="2" s="1"/>
  <c r="AT370" i="2"/>
  <c r="AU370" i="2"/>
  <c r="AU377" i="2" s="1"/>
  <c r="AV370" i="2"/>
  <c r="CE370" i="2" s="1"/>
  <c r="AW370" i="2"/>
  <c r="AX370" i="2"/>
  <c r="AY370" i="2"/>
  <c r="AY377" i="2" s="1"/>
  <c r="AZ370" i="2"/>
  <c r="BA370" i="2"/>
  <c r="BB370" i="2"/>
  <c r="BC370" i="2"/>
  <c r="BD370" i="2"/>
  <c r="BE370" i="2"/>
  <c r="BF370" i="2"/>
  <c r="BG370" i="2"/>
  <c r="BH370" i="2"/>
  <c r="BI370" i="2"/>
  <c r="BI377" i="2" s="1"/>
  <c r="BJ370" i="2"/>
  <c r="BU370" i="2"/>
  <c r="BY370" i="2"/>
  <c r="CA370" i="2"/>
  <c r="CG370" i="2"/>
  <c r="D371" i="2"/>
  <c r="BT371" i="2" s="1"/>
  <c r="E371" i="2"/>
  <c r="F371" i="2"/>
  <c r="G371" i="2"/>
  <c r="H371" i="2"/>
  <c r="BU371" i="2" s="1"/>
  <c r="I371" i="2"/>
  <c r="I378" i="2" s="1"/>
  <c r="J371" i="2"/>
  <c r="J378" i="2" s="1"/>
  <c r="K371" i="2"/>
  <c r="K378" i="2" s="1"/>
  <c r="L371" i="2"/>
  <c r="M371" i="2"/>
  <c r="N371" i="2"/>
  <c r="O371" i="2"/>
  <c r="P371" i="2"/>
  <c r="P378" i="2" s="1"/>
  <c r="Q371" i="2"/>
  <c r="R371" i="2"/>
  <c r="S371" i="2"/>
  <c r="BW371" i="2" s="1"/>
  <c r="T371" i="2"/>
  <c r="U371" i="2"/>
  <c r="V371" i="2"/>
  <c r="W371" i="2"/>
  <c r="X371" i="2"/>
  <c r="BY371" i="2" s="1"/>
  <c r="BY378" i="2" s="1"/>
  <c r="Y371" i="2"/>
  <c r="Y378" i="2" s="1"/>
  <c r="Z371" i="2"/>
  <c r="Z378" i="2" s="1"/>
  <c r="AA371" i="2"/>
  <c r="AA378" i="2" s="1"/>
  <c r="AB371" i="2"/>
  <c r="AB378" i="2" s="1"/>
  <c r="AC371" i="2"/>
  <c r="AD371" i="2"/>
  <c r="AE371" i="2"/>
  <c r="AF371" i="2"/>
  <c r="AF378" i="2" s="1"/>
  <c r="AG371" i="2"/>
  <c r="AH371" i="2"/>
  <c r="AI371" i="2"/>
  <c r="CA371" i="2" s="1"/>
  <c r="AJ371" i="2"/>
  <c r="AK371" i="2"/>
  <c r="AL371" i="2"/>
  <c r="AM371" i="2"/>
  <c r="AN371" i="2"/>
  <c r="AO371" i="2"/>
  <c r="AO378" i="2" s="1"/>
  <c r="AP371" i="2"/>
  <c r="AP378" i="2" s="1"/>
  <c r="AQ371" i="2"/>
  <c r="AQ378" i="2" s="1"/>
  <c r="AR371" i="2"/>
  <c r="AR378" i="2" s="1"/>
  <c r="AS371" i="2"/>
  <c r="AT371" i="2"/>
  <c r="AU371" i="2"/>
  <c r="AV371" i="2"/>
  <c r="AV378" i="2" s="1"/>
  <c r="AW371" i="2"/>
  <c r="AX371" i="2"/>
  <c r="AY371" i="2"/>
  <c r="AY378" i="2" s="1"/>
  <c r="AZ371" i="2"/>
  <c r="BA371" i="2"/>
  <c r="BB371" i="2"/>
  <c r="BC371" i="2"/>
  <c r="BD371" i="2"/>
  <c r="BE371" i="2"/>
  <c r="BE378" i="2" s="1"/>
  <c r="BF371" i="2"/>
  <c r="BF378" i="2" s="1"/>
  <c r="BG371" i="2"/>
  <c r="BG378" i="2" s="1"/>
  <c r="BH371" i="2"/>
  <c r="BH378" i="2" s="1"/>
  <c r="BI371" i="2"/>
  <c r="BI378" i="2" s="1"/>
  <c r="BJ371" i="2"/>
  <c r="BX371" i="2"/>
  <c r="CB371" i="2"/>
  <c r="CF371" i="2"/>
  <c r="H374" i="2"/>
  <c r="I374" i="2"/>
  <c r="M374" i="2"/>
  <c r="N374" i="2"/>
  <c r="R374" i="2"/>
  <c r="V374" i="2"/>
  <c r="X374" i="2"/>
  <c r="Y374" i="2"/>
  <c r="AC374" i="2"/>
  <c r="AD374" i="2"/>
  <c r="AH374" i="2"/>
  <c r="AL374" i="2"/>
  <c r="AN374" i="2"/>
  <c r="AO374" i="2"/>
  <c r="AS374" i="2"/>
  <c r="AT374" i="2"/>
  <c r="AX374" i="2"/>
  <c r="BB374" i="2"/>
  <c r="BD374" i="2"/>
  <c r="BE374" i="2"/>
  <c r="BI374" i="2"/>
  <c r="BJ374" i="2"/>
  <c r="J375" i="2"/>
  <c r="M375" i="2"/>
  <c r="O375" i="2"/>
  <c r="P375" i="2"/>
  <c r="Q375" i="2"/>
  <c r="R375" i="2"/>
  <c r="S375" i="2"/>
  <c r="T375" i="2"/>
  <c r="Z375" i="2"/>
  <c r="AC375" i="2"/>
  <c r="AE375" i="2"/>
  <c r="AF375" i="2"/>
  <c r="AG375" i="2"/>
  <c r="AH375" i="2"/>
  <c r="AI375" i="2"/>
  <c r="AJ375" i="2"/>
  <c r="AP375" i="2"/>
  <c r="AS375" i="2"/>
  <c r="AU375" i="2"/>
  <c r="AV375" i="2"/>
  <c r="AW375" i="2"/>
  <c r="AX375" i="2"/>
  <c r="AY375" i="2"/>
  <c r="AZ375" i="2"/>
  <c r="BF375" i="2"/>
  <c r="BI375" i="2"/>
  <c r="J376" i="2"/>
  <c r="K376" i="2"/>
  <c r="N376" i="2"/>
  <c r="P376" i="2"/>
  <c r="V376" i="2"/>
  <c r="W376" i="2"/>
  <c r="Z376" i="2"/>
  <c r="AA376" i="2"/>
  <c r="AD376" i="2"/>
  <c r="AF376" i="2"/>
  <c r="AL376" i="2"/>
  <c r="AM376" i="2"/>
  <c r="AP376" i="2"/>
  <c r="AQ376" i="2"/>
  <c r="AT376" i="2"/>
  <c r="AV376" i="2"/>
  <c r="BB376" i="2"/>
  <c r="BC376" i="2"/>
  <c r="BF376" i="2"/>
  <c r="BG376" i="2"/>
  <c r="BJ376" i="2"/>
  <c r="I377" i="2"/>
  <c r="K377" i="2"/>
  <c r="L377" i="2"/>
  <c r="N377" i="2"/>
  <c r="Q377" i="2"/>
  <c r="R377" i="2"/>
  <c r="U377" i="2"/>
  <c r="Y377" i="2"/>
  <c r="AA377" i="2"/>
  <c r="AB377" i="2"/>
  <c r="AD377" i="2"/>
  <c r="AG377" i="2"/>
  <c r="AH377" i="2"/>
  <c r="AK377" i="2"/>
  <c r="AO377" i="2"/>
  <c r="AQ377" i="2"/>
  <c r="AR377" i="2"/>
  <c r="AT377" i="2"/>
  <c r="AW377" i="2"/>
  <c r="AX377" i="2"/>
  <c r="BA377" i="2"/>
  <c r="BE377" i="2"/>
  <c r="BG377" i="2"/>
  <c r="BH377" i="2"/>
  <c r="BJ377" i="2"/>
  <c r="H378" i="2"/>
  <c r="N378" i="2"/>
  <c r="R378" i="2"/>
  <c r="T378" i="2"/>
  <c r="U378" i="2"/>
  <c r="V378" i="2"/>
  <c r="X378" i="2"/>
  <c r="AD378" i="2"/>
  <c r="AH378" i="2"/>
  <c r="AJ378" i="2"/>
  <c r="AK378" i="2"/>
  <c r="AL378" i="2"/>
  <c r="AN378" i="2"/>
  <c r="AT378" i="2"/>
  <c r="AX378" i="2"/>
  <c r="AZ378" i="2"/>
  <c r="BA378" i="2"/>
  <c r="BB378" i="2"/>
  <c r="BD378" i="2"/>
  <c r="BJ378" i="2"/>
  <c r="D381" i="2"/>
  <c r="E381" i="2"/>
  <c r="F381" i="2"/>
  <c r="BT381" i="2" s="1"/>
  <c r="G381" i="2"/>
  <c r="H381" i="2"/>
  <c r="I381" i="2"/>
  <c r="I388" i="2" s="1"/>
  <c r="J381" i="2"/>
  <c r="J388" i="2" s="1"/>
  <c r="K381" i="2"/>
  <c r="K388" i="2" s="1"/>
  <c r="L381" i="2"/>
  <c r="BV381" i="2" s="1"/>
  <c r="M381" i="2"/>
  <c r="Q388" i="2" s="1"/>
  <c r="N381" i="2"/>
  <c r="N388" i="2" s="1"/>
  <c r="O381" i="2"/>
  <c r="O388" i="2" s="1"/>
  <c r="P381" i="2"/>
  <c r="Q381" i="2"/>
  <c r="R381" i="2"/>
  <c r="S381" i="2"/>
  <c r="T381" i="2"/>
  <c r="U381" i="2"/>
  <c r="BX381" i="2" s="1"/>
  <c r="V381" i="2"/>
  <c r="V388" i="2" s="1"/>
  <c r="W381" i="2"/>
  <c r="X381" i="2"/>
  <c r="Y381" i="2"/>
  <c r="Y388" i="2" s="1"/>
  <c r="Z381" i="2"/>
  <c r="Z388" i="2" s="1"/>
  <c r="AA381" i="2"/>
  <c r="AA388" i="2" s="1"/>
  <c r="AB381" i="2"/>
  <c r="BZ381" i="2" s="1"/>
  <c r="AC381" i="2"/>
  <c r="AG388" i="2" s="1"/>
  <c r="AD381" i="2"/>
  <c r="AD388" i="2" s="1"/>
  <c r="AE381" i="2"/>
  <c r="AE388" i="2" s="1"/>
  <c r="AF381" i="2"/>
  <c r="AG381" i="2"/>
  <c r="AH381" i="2"/>
  <c r="AI381" i="2"/>
  <c r="AJ381" i="2"/>
  <c r="AK381" i="2"/>
  <c r="AL381" i="2"/>
  <c r="CB381" i="2" s="1"/>
  <c r="AM381" i="2"/>
  <c r="AN381" i="2"/>
  <c r="AO381" i="2"/>
  <c r="AO388" i="2" s="1"/>
  <c r="AP381" i="2"/>
  <c r="AP388" i="2" s="1"/>
  <c r="AQ381" i="2"/>
  <c r="AQ388" i="2" s="1"/>
  <c r="AR381" i="2"/>
  <c r="AS381" i="2"/>
  <c r="CD381" i="2" s="1"/>
  <c r="AT381" i="2"/>
  <c r="AT388" i="2" s="1"/>
  <c r="AU381" i="2"/>
  <c r="AU388" i="2" s="1"/>
  <c r="AV381" i="2"/>
  <c r="AW381" i="2"/>
  <c r="AX381" i="2"/>
  <c r="AY381" i="2"/>
  <c r="AZ381" i="2"/>
  <c r="BA381" i="2"/>
  <c r="BB381" i="2"/>
  <c r="CF381" i="2" s="1"/>
  <c r="BC381" i="2"/>
  <c r="BD381" i="2"/>
  <c r="BE381" i="2"/>
  <c r="BE388" i="2" s="1"/>
  <c r="BF381" i="2"/>
  <c r="BF388" i="2" s="1"/>
  <c r="BG381" i="2"/>
  <c r="BG388" i="2" s="1"/>
  <c r="BH381" i="2"/>
  <c r="BI381" i="2"/>
  <c r="BJ381" i="2"/>
  <c r="BJ388" i="2" s="1"/>
  <c r="BU381" i="2"/>
  <c r="D382" i="2"/>
  <c r="H389" i="2" s="1"/>
  <c r="E382" i="2"/>
  <c r="F382" i="2"/>
  <c r="J389" i="2" s="1"/>
  <c r="G382" i="2"/>
  <c r="K389" i="2" s="1"/>
  <c r="H382" i="2"/>
  <c r="I382" i="2"/>
  <c r="J382" i="2"/>
  <c r="K382" i="2"/>
  <c r="L382" i="2"/>
  <c r="M382" i="2"/>
  <c r="BV382" i="2" s="1"/>
  <c r="BV389" i="2" s="1"/>
  <c r="N382" i="2"/>
  <c r="O382" i="2"/>
  <c r="P382" i="2"/>
  <c r="BW382" i="2" s="1"/>
  <c r="Q382" i="2"/>
  <c r="R382" i="2"/>
  <c r="S382" i="2"/>
  <c r="T382" i="2"/>
  <c r="T389" i="2" s="1"/>
  <c r="U382" i="2"/>
  <c r="U389" i="2" s="1"/>
  <c r="V382" i="2"/>
  <c r="V389" i="2" s="1"/>
  <c r="W382" i="2"/>
  <c r="X382" i="2"/>
  <c r="Y382" i="2"/>
  <c r="Z382" i="2"/>
  <c r="AA382" i="2"/>
  <c r="AB382" i="2"/>
  <c r="AC382" i="2"/>
  <c r="AC389" i="2" s="1"/>
  <c r="AD382" i="2"/>
  <c r="AE382" i="2"/>
  <c r="AF382" i="2"/>
  <c r="AG382" i="2"/>
  <c r="AH382" i="2"/>
  <c r="AI382" i="2"/>
  <c r="AJ382" i="2"/>
  <c r="AJ389" i="2" s="1"/>
  <c r="AK382" i="2"/>
  <c r="AK389" i="2" s="1"/>
  <c r="AL382" i="2"/>
  <c r="AL389" i="2" s="1"/>
  <c r="AM382" i="2"/>
  <c r="AN382" i="2"/>
  <c r="AO382" i="2"/>
  <c r="CC382" i="2" s="1"/>
  <c r="AP382" i="2"/>
  <c r="AQ382" i="2"/>
  <c r="AR382" i="2"/>
  <c r="CD382" i="2" s="1"/>
  <c r="CD389" i="2" s="1"/>
  <c r="AS382" i="2"/>
  <c r="AS389" i="2" s="1"/>
  <c r="AT382" i="2"/>
  <c r="AU382" i="2"/>
  <c r="AV382" i="2"/>
  <c r="CE382" i="2" s="1"/>
  <c r="AW382" i="2"/>
  <c r="AX382" i="2"/>
  <c r="AY382" i="2"/>
  <c r="AZ382" i="2"/>
  <c r="AZ389" i="2" s="1"/>
  <c r="BA382" i="2"/>
  <c r="BA389" i="2" s="1"/>
  <c r="BB382" i="2"/>
  <c r="BB389" i="2" s="1"/>
  <c r="BC382" i="2"/>
  <c r="BD382" i="2"/>
  <c r="BE382" i="2"/>
  <c r="BF382" i="2"/>
  <c r="BG382" i="2"/>
  <c r="BH382" i="2"/>
  <c r="BI382" i="2"/>
  <c r="BI389" i="2" s="1"/>
  <c r="BJ382" i="2"/>
  <c r="BU382" i="2"/>
  <c r="BY382" i="2"/>
  <c r="BZ382" i="2"/>
  <c r="BZ389" i="2" s="1"/>
  <c r="CA382" i="2"/>
  <c r="CA389" i="2" s="1"/>
  <c r="CG382" i="2"/>
  <c r="D383" i="2"/>
  <c r="BT383" i="2" s="1"/>
  <c r="E383" i="2"/>
  <c r="F383" i="2"/>
  <c r="G383" i="2"/>
  <c r="H383" i="2"/>
  <c r="BU383" i="2" s="1"/>
  <c r="BU390" i="2" s="1"/>
  <c r="I383" i="2"/>
  <c r="J383" i="2"/>
  <c r="K383" i="2"/>
  <c r="K390" i="2" s="1"/>
  <c r="L383" i="2"/>
  <c r="P390" i="2" s="1"/>
  <c r="M383" i="2"/>
  <c r="Q390" i="2" s="1"/>
  <c r="N383" i="2"/>
  <c r="O383" i="2"/>
  <c r="P383" i="2"/>
  <c r="Q383" i="2"/>
  <c r="BW383" i="2" s="1"/>
  <c r="R383" i="2"/>
  <c r="S383" i="2"/>
  <c r="S390" i="2" s="1"/>
  <c r="T383" i="2"/>
  <c r="BX383" i="2" s="1"/>
  <c r="BX390" i="2" s="1"/>
  <c r="U383" i="2"/>
  <c r="V383" i="2"/>
  <c r="W383" i="2"/>
  <c r="W390" i="2" s="1"/>
  <c r="X383" i="2"/>
  <c r="Y383" i="2"/>
  <c r="Z383" i="2"/>
  <c r="AA383" i="2"/>
  <c r="AA390" i="2" s="1"/>
  <c r="AB383" i="2"/>
  <c r="AF390" i="2" s="1"/>
  <c r="AC383" i="2"/>
  <c r="AG390" i="2" s="1"/>
  <c r="AD383" i="2"/>
  <c r="AE383" i="2"/>
  <c r="AF383" i="2"/>
  <c r="CA383" i="2" s="1"/>
  <c r="AG383" i="2"/>
  <c r="AH383" i="2"/>
  <c r="AI383" i="2"/>
  <c r="AI390" i="2" s="1"/>
  <c r="AJ383" i="2"/>
  <c r="AJ390" i="2" s="1"/>
  <c r="AK383" i="2"/>
  <c r="AL383" i="2"/>
  <c r="AM383" i="2"/>
  <c r="AM390" i="2" s="1"/>
  <c r="AN383" i="2"/>
  <c r="AO383" i="2"/>
  <c r="AP383" i="2"/>
  <c r="AQ383" i="2"/>
  <c r="CC383" i="2" s="1"/>
  <c r="AR383" i="2"/>
  <c r="AV390" i="2" s="1"/>
  <c r="AS383" i="2"/>
  <c r="AW390" i="2" s="1"/>
  <c r="AT383" i="2"/>
  <c r="AU383" i="2"/>
  <c r="AV383" i="2"/>
  <c r="AW383" i="2"/>
  <c r="AX383" i="2"/>
  <c r="AY383" i="2"/>
  <c r="AY390" i="2" s="1"/>
  <c r="AZ383" i="2"/>
  <c r="AZ390" i="2" s="1"/>
  <c r="BA383" i="2"/>
  <c r="BB383" i="2"/>
  <c r="BC383" i="2"/>
  <c r="BC390" i="2" s="1"/>
  <c r="BD383" i="2"/>
  <c r="BE383" i="2"/>
  <c r="BF383" i="2"/>
  <c r="BG383" i="2"/>
  <c r="BG390" i="2" s="1"/>
  <c r="BH383" i="2"/>
  <c r="BH390" i="2" s="1"/>
  <c r="BI383" i="2"/>
  <c r="BJ383" i="2"/>
  <c r="BJ390" i="2" s="1"/>
  <c r="BY383" i="2"/>
  <c r="CE383" i="2"/>
  <c r="CG383" i="2"/>
  <c r="D384" i="2"/>
  <c r="E384" i="2"/>
  <c r="I391" i="2" s="1"/>
  <c r="F384" i="2"/>
  <c r="G384" i="2"/>
  <c r="H384" i="2"/>
  <c r="I384" i="2"/>
  <c r="J384" i="2"/>
  <c r="K384" i="2"/>
  <c r="BU384" i="2" s="1"/>
  <c r="L384" i="2"/>
  <c r="L391" i="2" s="1"/>
  <c r="M384" i="2"/>
  <c r="N384" i="2"/>
  <c r="N391" i="2" s="1"/>
  <c r="O384" i="2"/>
  <c r="O391" i="2" s="1"/>
  <c r="P384" i="2"/>
  <c r="Q384" i="2"/>
  <c r="R384" i="2"/>
  <c r="R391" i="2" s="1"/>
  <c r="S384" i="2"/>
  <c r="S391" i="2" s="1"/>
  <c r="T384" i="2"/>
  <c r="U384" i="2"/>
  <c r="V384" i="2"/>
  <c r="W384" i="2"/>
  <c r="X384" i="2"/>
  <c r="Y384" i="2"/>
  <c r="Z384" i="2"/>
  <c r="AA384" i="2"/>
  <c r="BY384" i="2" s="1"/>
  <c r="AB384" i="2"/>
  <c r="AB391" i="2" s="1"/>
  <c r="AC384" i="2"/>
  <c r="AD384" i="2"/>
  <c r="AD391" i="2" s="1"/>
  <c r="AE384" i="2"/>
  <c r="AE391" i="2" s="1"/>
  <c r="AF384" i="2"/>
  <c r="CA384" i="2" s="1"/>
  <c r="AG384" i="2"/>
  <c r="AH384" i="2"/>
  <c r="AH391" i="2" s="1"/>
  <c r="AI384" i="2"/>
  <c r="AI391" i="2" s="1"/>
  <c r="AJ384" i="2"/>
  <c r="AK384" i="2"/>
  <c r="AL384" i="2"/>
  <c r="AM384" i="2"/>
  <c r="AN384" i="2"/>
  <c r="AO384" i="2"/>
  <c r="AP384" i="2"/>
  <c r="CC384" i="2" s="1"/>
  <c r="AQ384" i="2"/>
  <c r="AR384" i="2"/>
  <c r="AR391" i="2" s="1"/>
  <c r="AS384" i="2"/>
  <c r="AT384" i="2"/>
  <c r="AT391" i="2" s="1"/>
  <c r="AU384" i="2"/>
  <c r="AU391" i="2" s="1"/>
  <c r="AV384" i="2"/>
  <c r="CE384" i="2" s="1"/>
  <c r="AW384" i="2"/>
  <c r="AX384" i="2"/>
  <c r="AX391" i="2" s="1"/>
  <c r="AY384" i="2"/>
  <c r="AY391" i="2" s="1"/>
  <c r="AZ384" i="2"/>
  <c r="BA384" i="2"/>
  <c r="BB384" i="2"/>
  <c r="BC384" i="2"/>
  <c r="BD384" i="2"/>
  <c r="BE384" i="2"/>
  <c r="BF384" i="2"/>
  <c r="BG384" i="2"/>
  <c r="CG384" i="2" s="1"/>
  <c r="BH384" i="2"/>
  <c r="BH391" i="2" s="1"/>
  <c r="BI384" i="2"/>
  <c r="BJ384" i="2"/>
  <c r="BJ391" i="2" s="1"/>
  <c r="BZ384" i="2"/>
  <c r="BZ391" i="2" s="1"/>
  <c r="D385" i="2"/>
  <c r="E385" i="2"/>
  <c r="BT385" i="2" s="1"/>
  <c r="F385" i="2"/>
  <c r="G385" i="2"/>
  <c r="H385" i="2"/>
  <c r="H392" i="2" s="1"/>
  <c r="I385" i="2"/>
  <c r="I392" i="2" s="1"/>
  <c r="J385" i="2"/>
  <c r="J392" i="2" s="1"/>
  <c r="K385" i="2"/>
  <c r="K392" i="2" s="1"/>
  <c r="L385" i="2"/>
  <c r="M385" i="2"/>
  <c r="N385" i="2"/>
  <c r="O385" i="2"/>
  <c r="P385" i="2"/>
  <c r="Q385" i="2"/>
  <c r="R385" i="2"/>
  <c r="R392" i="2" s="1"/>
  <c r="S385" i="2"/>
  <c r="T385" i="2"/>
  <c r="U385" i="2"/>
  <c r="BX385" i="2" s="1"/>
  <c r="BX392" i="2" s="1"/>
  <c r="V385" i="2"/>
  <c r="W385" i="2"/>
  <c r="X385" i="2"/>
  <c r="X392" i="2" s="1"/>
  <c r="Y385" i="2"/>
  <c r="Y392" i="2" s="1"/>
  <c r="Z385" i="2"/>
  <c r="Z392" i="2" s="1"/>
  <c r="AA385" i="2"/>
  <c r="AA392" i="2" s="1"/>
  <c r="AB385" i="2"/>
  <c r="AC385" i="2"/>
  <c r="AD385" i="2"/>
  <c r="AE385" i="2"/>
  <c r="AF385" i="2"/>
  <c r="AG385" i="2"/>
  <c r="AH385" i="2"/>
  <c r="CA385" i="2" s="1"/>
  <c r="AI385" i="2"/>
  <c r="AJ385" i="2"/>
  <c r="AK385" i="2"/>
  <c r="CB385" i="2" s="1"/>
  <c r="AL385" i="2"/>
  <c r="AM385" i="2"/>
  <c r="AN385" i="2"/>
  <c r="AN392" i="2" s="1"/>
  <c r="AO385" i="2"/>
  <c r="AO392" i="2" s="1"/>
  <c r="AP385" i="2"/>
  <c r="AP392" i="2" s="1"/>
  <c r="AQ385" i="2"/>
  <c r="AQ392" i="2" s="1"/>
  <c r="AR385" i="2"/>
  <c r="AS385" i="2"/>
  <c r="AT385" i="2"/>
  <c r="AU385" i="2"/>
  <c r="AV385" i="2"/>
  <c r="AW385" i="2"/>
  <c r="AX385" i="2"/>
  <c r="AX392" i="2" s="1"/>
  <c r="AY385" i="2"/>
  <c r="AZ385" i="2"/>
  <c r="BA385" i="2"/>
  <c r="BB385" i="2"/>
  <c r="BC385" i="2"/>
  <c r="BD385" i="2"/>
  <c r="BD392" i="2" s="1"/>
  <c r="BE385" i="2"/>
  <c r="BE392" i="2" s="1"/>
  <c r="BF385" i="2"/>
  <c r="BF392" i="2" s="1"/>
  <c r="BG385" i="2"/>
  <c r="BG392" i="2" s="1"/>
  <c r="BH385" i="2"/>
  <c r="BH392" i="2" s="1"/>
  <c r="BI385" i="2"/>
  <c r="BJ385" i="2"/>
  <c r="BW385" i="2"/>
  <c r="CE385" i="2"/>
  <c r="CF385" i="2"/>
  <c r="CF392" i="2" s="1"/>
  <c r="CG385" i="2"/>
  <c r="CG392" i="2" s="1"/>
  <c r="H388" i="2"/>
  <c r="L388" i="2"/>
  <c r="M388" i="2"/>
  <c r="U388" i="2"/>
  <c r="W388" i="2"/>
  <c r="X388" i="2"/>
  <c r="AB388" i="2"/>
  <c r="AC388" i="2"/>
  <c r="AK388" i="2"/>
  <c r="AM388" i="2"/>
  <c r="AN388" i="2"/>
  <c r="AR388" i="2"/>
  <c r="AS388" i="2"/>
  <c r="BA388" i="2"/>
  <c r="BC388" i="2"/>
  <c r="BD388" i="2"/>
  <c r="BH388" i="2"/>
  <c r="BI388" i="2"/>
  <c r="I389" i="2"/>
  <c r="L389" i="2"/>
  <c r="N389" i="2"/>
  <c r="O389" i="2"/>
  <c r="P389" i="2"/>
  <c r="Q389" i="2"/>
  <c r="R389" i="2"/>
  <c r="S389" i="2"/>
  <c r="Y389" i="2"/>
  <c r="AB389" i="2"/>
  <c r="AD389" i="2"/>
  <c r="AE389" i="2"/>
  <c r="AF389" i="2"/>
  <c r="AG389" i="2"/>
  <c r="AH389" i="2"/>
  <c r="AI389" i="2"/>
  <c r="AO389" i="2"/>
  <c r="AR389" i="2"/>
  <c r="AT389" i="2"/>
  <c r="AU389" i="2"/>
  <c r="AV389" i="2"/>
  <c r="AW389" i="2"/>
  <c r="AX389" i="2"/>
  <c r="AY389" i="2"/>
  <c r="BE389" i="2"/>
  <c r="BH389" i="2"/>
  <c r="BJ389" i="2"/>
  <c r="I390" i="2"/>
  <c r="J390" i="2"/>
  <c r="M390" i="2"/>
  <c r="O390" i="2"/>
  <c r="U390" i="2"/>
  <c r="V390" i="2"/>
  <c r="Y390" i="2"/>
  <c r="Z390" i="2"/>
  <c r="AC390" i="2"/>
  <c r="AE390" i="2"/>
  <c r="AK390" i="2"/>
  <c r="AL390" i="2"/>
  <c r="AO390" i="2"/>
  <c r="AP390" i="2"/>
  <c r="AS390" i="2"/>
  <c r="AU390" i="2"/>
  <c r="BA390" i="2"/>
  <c r="BB390" i="2"/>
  <c r="BE390" i="2"/>
  <c r="BF390" i="2"/>
  <c r="BI390" i="2"/>
  <c r="H391" i="2"/>
  <c r="J391" i="2"/>
  <c r="K391" i="2"/>
  <c r="M391" i="2"/>
  <c r="P391" i="2"/>
  <c r="Q391" i="2"/>
  <c r="T391" i="2"/>
  <c r="X391" i="2"/>
  <c r="Z391" i="2"/>
  <c r="AA391" i="2"/>
  <c r="AC391" i="2"/>
  <c r="AF391" i="2"/>
  <c r="AG391" i="2"/>
  <c r="AJ391" i="2"/>
  <c r="AN391" i="2"/>
  <c r="AP391" i="2"/>
  <c r="AQ391" i="2"/>
  <c r="AS391" i="2"/>
  <c r="AV391" i="2"/>
  <c r="AW391" i="2"/>
  <c r="AZ391" i="2"/>
  <c r="BD391" i="2"/>
  <c r="BF391" i="2"/>
  <c r="BG391" i="2"/>
  <c r="BI391" i="2"/>
  <c r="M392" i="2"/>
  <c r="Q392" i="2"/>
  <c r="S392" i="2"/>
  <c r="T392" i="2"/>
  <c r="U392" i="2"/>
  <c r="W392" i="2"/>
  <c r="AC392" i="2"/>
  <c r="AG392" i="2"/>
  <c r="AI392" i="2"/>
  <c r="AJ392" i="2"/>
  <c r="AK392" i="2"/>
  <c r="AM392" i="2"/>
  <c r="AS392" i="2"/>
  <c r="AW392" i="2"/>
  <c r="AY392" i="2"/>
  <c r="AZ392" i="2"/>
  <c r="BA392" i="2"/>
  <c r="BC392" i="2"/>
  <c r="BI392" i="2"/>
  <c r="AN395" i="2"/>
  <c r="AO395" i="2"/>
  <c r="CC395" i="2" s="1"/>
  <c r="AP395" i="2"/>
  <c r="AQ395" i="2"/>
  <c r="AR395" i="2"/>
  <c r="AS395" i="2"/>
  <c r="AT395" i="2"/>
  <c r="AU395" i="2"/>
  <c r="AV395" i="2"/>
  <c r="AV399" i="2" s="1"/>
  <c r="AW395" i="2"/>
  <c r="AX395" i="2"/>
  <c r="AX399" i="2" s="1"/>
  <c r="AY395" i="2"/>
  <c r="AY399" i="2" s="1"/>
  <c r="AZ395" i="2"/>
  <c r="BA395" i="2"/>
  <c r="BB395" i="2"/>
  <c r="BC395" i="2"/>
  <c r="BD395" i="2"/>
  <c r="BE395" i="2"/>
  <c r="BE399" i="2" s="1"/>
  <c r="BF395" i="2"/>
  <c r="BG395" i="2"/>
  <c r="BH395" i="2"/>
  <c r="BI395" i="2"/>
  <c r="BJ395" i="2"/>
  <c r="CD395" i="2"/>
  <c r="CF395" i="2"/>
  <c r="CG395" i="2"/>
  <c r="CG399" i="2" s="1"/>
  <c r="AN396" i="2"/>
  <c r="AO396" i="2"/>
  <c r="CC396" i="2" s="1"/>
  <c r="AP396" i="2"/>
  <c r="AQ396" i="2"/>
  <c r="AR396" i="2"/>
  <c r="AR400" i="2" s="1"/>
  <c r="AS396" i="2"/>
  <c r="AS400" i="2" s="1"/>
  <c r="AT396" i="2"/>
  <c r="AU396" i="2"/>
  <c r="AV396" i="2"/>
  <c r="AV400" i="2" s="1"/>
  <c r="AW396" i="2"/>
  <c r="AX396" i="2"/>
  <c r="AY396" i="2"/>
  <c r="AZ396" i="2"/>
  <c r="BA396" i="2"/>
  <c r="BA400" i="2" s="1"/>
  <c r="BB396" i="2"/>
  <c r="BF400" i="2" s="1"/>
  <c r="BC396" i="2"/>
  <c r="BD396" i="2"/>
  <c r="BE396" i="2"/>
  <c r="BE400" i="2" s="1"/>
  <c r="BF396" i="2"/>
  <c r="BG396" i="2"/>
  <c r="BH396" i="2"/>
  <c r="BH400" i="2" s="1"/>
  <c r="BI396" i="2"/>
  <c r="BI400" i="2" s="1"/>
  <c r="BJ396" i="2"/>
  <c r="CG396" i="2"/>
  <c r="AR399" i="2"/>
  <c r="AS399" i="2"/>
  <c r="AT399" i="2"/>
  <c r="AU399" i="2"/>
  <c r="BD399" i="2"/>
  <c r="BF399" i="2"/>
  <c r="BG399" i="2"/>
  <c r="BH399" i="2"/>
  <c r="BI399" i="2"/>
  <c r="BJ399" i="2"/>
  <c r="CD399" i="2"/>
  <c r="AT400" i="2"/>
  <c r="AU400" i="2"/>
  <c r="AX400" i="2"/>
  <c r="AY400" i="2"/>
  <c r="BB400" i="2"/>
  <c r="BD400" i="2"/>
  <c r="BJ400" i="2"/>
  <c r="AN403" i="2"/>
  <c r="CC403" i="2" s="1"/>
  <c r="AO403" i="2"/>
  <c r="AP403" i="2"/>
  <c r="AT407" i="2" s="1"/>
  <c r="AQ403" i="2"/>
  <c r="AU407" i="2" s="1"/>
  <c r="AR403" i="2"/>
  <c r="CD403" i="2" s="1"/>
  <c r="AS403" i="2"/>
  <c r="AS407" i="2" s="1"/>
  <c r="AT403" i="2"/>
  <c r="AU403" i="2"/>
  <c r="AV403" i="2"/>
  <c r="CE403" i="2" s="1"/>
  <c r="CE407" i="2" s="1"/>
  <c r="AW403" i="2"/>
  <c r="AX403" i="2"/>
  <c r="AY403" i="2"/>
  <c r="AY407" i="2" s="1"/>
  <c r="AZ403" i="2"/>
  <c r="CF403" i="2" s="1"/>
  <c r="BA403" i="2"/>
  <c r="BB403" i="2"/>
  <c r="BC403" i="2"/>
  <c r="BD403" i="2"/>
  <c r="BE403" i="2"/>
  <c r="BF403" i="2"/>
  <c r="BF407" i="2" s="1"/>
  <c r="BG403" i="2"/>
  <c r="BH403" i="2"/>
  <c r="BH407" i="2" s="1"/>
  <c r="BI403" i="2"/>
  <c r="BI407" i="2" s="1"/>
  <c r="BJ403" i="2"/>
  <c r="AN404" i="2"/>
  <c r="AO404" i="2"/>
  <c r="AP404" i="2"/>
  <c r="AQ404" i="2"/>
  <c r="AR404" i="2"/>
  <c r="AS404" i="2"/>
  <c r="AT404" i="2"/>
  <c r="AT408" i="2" s="1"/>
  <c r="AU404" i="2"/>
  <c r="AU408" i="2" s="1"/>
  <c r="AV404" i="2"/>
  <c r="AZ408" i="2" s="1"/>
  <c r="AW404" i="2"/>
  <c r="AX404" i="2"/>
  <c r="AY404" i="2"/>
  <c r="AZ404" i="2"/>
  <c r="CF404" i="2" s="1"/>
  <c r="BA404" i="2"/>
  <c r="BB404" i="2"/>
  <c r="BB408" i="2" s="1"/>
  <c r="BC404" i="2"/>
  <c r="BC408" i="2" s="1"/>
  <c r="BD404" i="2"/>
  <c r="CG404" i="2" s="1"/>
  <c r="BE404" i="2"/>
  <c r="BF404" i="2"/>
  <c r="BF408" i="2" s="1"/>
  <c r="BG404" i="2"/>
  <c r="BH404" i="2"/>
  <c r="BI404" i="2"/>
  <c r="BJ404" i="2"/>
  <c r="BJ408" i="2" s="1"/>
  <c r="CC404" i="2"/>
  <c r="AX407" i="2"/>
  <c r="AZ407" i="2"/>
  <c r="BA407" i="2"/>
  <c r="BB407" i="2"/>
  <c r="BC407" i="2"/>
  <c r="BD407" i="2"/>
  <c r="BE407" i="2"/>
  <c r="AR408" i="2"/>
  <c r="AS408" i="2"/>
  <c r="AV408" i="2"/>
  <c r="AX408" i="2"/>
  <c r="BD408" i="2"/>
  <c r="BE408" i="2"/>
  <c r="BH408" i="2"/>
  <c r="BI408" i="2"/>
  <c r="CG408" i="2"/>
  <c r="L413" i="2"/>
  <c r="M413" i="2"/>
  <c r="N413" i="2"/>
  <c r="O413" i="2"/>
  <c r="P413" i="2"/>
  <c r="Q413" i="2"/>
  <c r="R413" i="2"/>
  <c r="S413" i="2"/>
  <c r="T413" i="2"/>
  <c r="U413" i="2"/>
  <c r="V413" i="2"/>
  <c r="W413" i="2"/>
  <c r="X413" i="2"/>
  <c r="Y413" i="2"/>
  <c r="Z413" i="2"/>
  <c r="AA413" i="2"/>
  <c r="AB413" i="2"/>
  <c r="AC413" i="2"/>
  <c r="AD413" i="2"/>
  <c r="AE413" i="2"/>
  <c r="AF413" i="2"/>
  <c r="AG413" i="2"/>
  <c r="AH413" i="2"/>
  <c r="AI413" i="2"/>
  <c r="AJ413" i="2"/>
  <c r="AK413" i="2"/>
  <c r="AL413" i="2"/>
  <c r="AM413" i="2"/>
  <c r="AN413" i="2"/>
  <c r="AO413" i="2"/>
  <c r="AP413" i="2"/>
  <c r="AQ413" i="2"/>
  <c r="AR413" i="2"/>
  <c r="AS413" i="2"/>
  <c r="AT413" i="2"/>
  <c r="AU413" i="2"/>
  <c r="AV413" i="2"/>
  <c r="AW413" i="2"/>
  <c r="AX413" i="2"/>
  <c r="AY413" i="2"/>
  <c r="AZ413" i="2"/>
  <c r="BA413" i="2"/>
  <c r="BB413" i="2"/>
  <c r="BC413" i="2"/>
  <c r="BD413" i="2"/>
  <c r="BE413" i="2"/>
  <c r="BF413" i="2"/>
  <c r="BG413" i="2"/>
  <c r="BH413" i="2"/>
  <c r="BI413" i="2"/>
  <c r="BJ413" i="2"/>
  <c r="BR413" i="2"/>
  <c r="BS413" i="2"/>
  <c r="BT413" i="2"/>
  <c r="BU413" i="2"/>
  <c r="BV413" i="2"/>
  <c r="BW413" i="2"/>
  <c r="BX413" i="2"/>
  <c r="BY413" i="2"/>
  <c r="BZ413" i="2"/>
  <c r="CA413" i="2"/>
  <c r="CB413" i="2"/>
  <c r="CC413" i="2"/>
  <c r="CD413" i="2"/>
  <c r="CE413" i="2"/>
  <c r="CF413" i="2"/>
  <c r="CG413" i="2"/>
  <c r="CB415" i="2"/>
  <c r="CC415" i="2"/>
  <c r="CC438" i="2" s="1"/>
  <c r="CD415" i="2"/>
  <c r="CD438" i="2" s="1"/>
  <c r="CE415" i="2"/>
  <c r="CF415" i="2"/>
  <c r="CG415" i="2"/>
  <c r="CB416" i="2"/>
  <c r="CC416" i="2"/>
  <c r="CD416" i="2"/>
  <c r="CE416" i="2"/>
  <c r="CE418" i="2" s="1"/>
  <c r="CF416" i="2"/>
  <c r="CG416" i="2"/>
  <c r="L417" i="2"/>
  <c r="M417" i="2"/>
  <c r="N417" i="2"/>
  <c r="O417" i="2"/>
  <c r="P417" i="2"/>
  <c r="Q417" i="2"/>
  <c r="R417" i="2"/>
  <c r="S417" i="2"/>
  <c r="T417" i="2"/>
  <c r="U417" i="2"/>
  <c r="V417" i="2"/>
  <c r="W417" i="2"/>
  <c r="X417" i="2"/>
  <c r="Y417" i="2"/>
  <c r="Z417" i="2"/>
  <c r="AA417" i="2"/>
  <c r="AB417" i="2"/>
  <c r="AC417" i="2"/>
  <c r="AD417" i="2"/>
  <c r="AE417" i="2"/>
  <c r="AF417" i="2"/>
  <c r="AG417" i="2"/>
  <c r="AH417" i="2"/>
  <c r="AI417" i="2"/>
  <c r="AJ417" i="2"/>
  <c r="AK417" i="2"/>
  <c r="AL417" i="2"/>
  <c r="AM417" i="2"/>
  <c r="AN417" i="2"/>
  <c r="AO417" i="2"/>
  <c r="AP417" i="2"/>
  <c r="AQ417" i="2"/>
  <c r="AR417" i="2"/>
  <c r="AS417" i="2"/>
  <c r="AT417" i="2"/>
  <c r="AU417" i="2"/>
  <c r="AV417" i="2"/>
  <c r="AW417" i="2"/>
  <c r="AX417" i="2"/>
  <c r="AY417" i="2"/>
  <c r="AZ417" i="2"/>
  <c r="BA417" i="2"/>
  <c r="BB417" i="2"/>
  <c r="BC417" i="2"/>
  <c r="BD417" i="2"/>
  <c r="BE417" i="2"/>
  <c r="BF417" i="2"/>
  <c r="BG417" i="2"/>
  <c r="BH417" i="2"/>
  <c r="BI417" i="2"/>
  <c r="BJ417" i="2"/>
  <c r="BR417" i="2"/>
  <c r="BS417" i="2"/>
  <c r="BT417" i="2"/>
  <c r="BU417" i="2"/>
  <c r="BV417" i="2"/>
  <c r="BW417" i="2"/>
  <c r="BZ417" i="2"/>
  <c r="CA417" i="2"/>
  <c r="CB417" i="2"/>
  <c r="CC417" i="2"/>
  <c r="CD417" i="2"/>
  <c r="CE417" i="2"/>
  <c r="D418" i="2"/>
  <c r="E418" i="2"/>
  <c r="F418" i="2"/>
  <c r="G418" i="2"/>
  <c r="H418" i="2"/>
  <c r="I418" i="2"/>
  <c r="J418" i="2"/>
  <c r="K418" i="2"/>
  <c r="L418" i="2"/>
  <c r="M418" i="2"/>
  <c r="N418" i="2"/>
  <c r="O418" i="2"/>
  <c r="P418" i="2"/>
  <c r="Q418" i="2"/>
  <c r="R418" i="2"/>
  <c r="S418" i="2"/>
  <c r="T418" i="2"/>
  <c r="U418" i="2"/>
  <c r="V418" i="2"/>
  <c r="W418" i="2"/>
  <c r="X418" i="2"/>
  <c r="Y418" i="2"/>
  <c r="Z418" i="2"/>
  <c r="AA418" i="2"/>
  <c r="AB418" i="2"/>
  <c r="AC418" i="2"/>
  <c r="AD418" i="2"/>
  <c r="AE418" i="2"/>
  <c r="AF418" i="2"/>
  <c r="AG418" i="2"/>
  <c r="AH418" i="2"/>
  <c r="AI418" i="2"/>
  <c r="AJ418" i="2"/>
  <c r="AK418" i="2"/>
  <c r="AL418" i="2"/>
  <c r="AM418" i="2"/>
  <c r="AN418" i="2"/>
  <c r="AO418" i="2"/>
  <c r="AP418" i="2"/>
  <c r="AQ418" i="2"/>
  <c r="AR418" i="2"/>
  <c r="AS418" i="2"/>
  <c r="AT418" i="2"/>
  <c r="AU418" i="2"/>
  <c r="AV418" i="2"/>
  <c r="AW418" i="2"/>
  <c r="AX418" i="2"/>
  <c r="AY418" i="2"/>
  <c r="AZ418" i="2"/>
  <c r="BA418" i="2"/>
  <c r="BB418" i="2"/>
  <c r="BC418" i="2"/>
  <c r="BD418" i="2"/>
  <c r="BE418" i="2"/>
  <c r="BF418" i="2"/>
  <c r="BG418" i="2"/>
  <c r="BH418" i="2"/>
  <c r="BI418" i="2"/>
  <c r="BJ418" i="2"/>
  <c r="BQ418" i="2"/>
  <c r="BR418" i="2"/>
  <c r="BS418" i="2"/>
  <c r="BT418" i="2"/>
  <c r="BU418" i="2"/>
  <c r="BV418" i="2"/>
  <c r="BW418" i="2"/>
  <c r="BY418" i="2"/>
  <c r="BZ418" i="2"/>
  <c r="CA418" i="2"/>
  <c r="CB418" i="2"/>
  <c r="CC418" i="2"/>
  <c r="CD418" i="2"/>
  <c r="CG418" i="2"/>
  <c r="CC420" i="2"/>
  <c r="CC432" i="2" s="1"/>
  <c r="CD420" i="2"/>
  <c r="CE420" i="2"/>
  <c r="CF420" i="2"/>
  <c r="CG420" i="2"/>
  <c r="CC421" i="2"/>
  <c r="CD421" i="2"/>
  <c r="CD427" i="2" s="1"/>
  <c r="CE421" i="2"/>
  <c r="CF421" i="2"/>
  <c r="CG421" i="2"/>
  <c r="CC422" i="2"/>
  <c r="CD428" i="2" s="1"/>
  <c r="CD422" i="2"/>
  <c r="CE422" i="2"/>
  <c r="CF422" i="2"/>
  <c r="CG422" i="2"/>
  <c r="D423" i="2"/>
  <c r="E423" i="2"/>
  <c r="F423" i="2"/>
  <c r="G423" i="2"/>
  <c r="H423" i="2"/>
  <c r="I423" i="2"/>
  <c r="J423" i="2"/>
  <c r="K423" i="2"/>
  <c r="K438" i="2" s="1"/>
  <c r="O439" i="2" s="1"/>
  <c r="L423" i="2"/>
  <c r="M423" i="2"/>
  <c r="M438" i="2" s="1"/>
  <c r="M440" i="2" s="1"/>
  <c r="N423" i="2"/>
  <c r="O423" i="2"/>
  <c r="O442" i="2" s="1"/>
  <c r="P423" i="2"/>
  <c r="Q423" i="2"/>
  <c r="R423" i="2"/>
  <c r="R438" i="2" s="1"/>
  <c r="R440" i="2" s="1"/>
  <c r="S423" i="2"/>
  <c r="S442" i="2" s="1"/>
  <c r="T423" i="2"/>
  <c r="U423" i="2"/>
  <c r="V423" i="2"/>
  <c r="W423" i="2"/>
  <c r="X423" i="2"/>
  <c r="Y423" i="2"/>
  <c r="Z423" i="2"/>
  <c r="AA423" i="2"/>
  <c r="AA438" i="2" s="1"/>
  <c r="AE439" i="2" s="1"/>
  <c r="AB423" i="2"/>
  <c r="AC423" i="2"/>
  <c r="AC438" i="2" s="1"/>
  <c r="AD423" i="2"/>
  <c r="AE423" i="2"/>
  <c r="AE442" i="2" s="1"/>
  <c r="AF423" i="2"/>
  <c r="AG423" i="2"/>
  <c r="AH423" i="2"/>
  <c r="AH438" i="2" s="1"/>
  <c r="AH440" i="2" s="1"/>
  <c r="AI423" i="2"/>
  <c r="AM429" i="2" s="1"/>
  <c r="AJ423" i="2"/>
  <c r="AK423" i="2"/>
  <c r="AO429" i="2" s="1"/>
  <c r="AL423" i="2"/>
  <c r="AM423" i="2"/>
  <c r="AN423" i="2"/>
  <c r="AO423" i="2"/>
  <c r="AP423" i="2"/>
  <c r="AQ423" i="2"/>
  <c r="AQ438" i="2" s="1"/>
  <c r="AU439" i="2" s="1"/>
  <c r="AR423" i="2"/>
  <c r="AS423" i="2"/>
  <c r="AS438" i="2" s="1"/>
  <c r="AT423" i="2"/>
  <c r="AU423" i="2"/>
  <c r="AU442" i="2" s="1"/>
  <c r="AV423" i="2"/>
  <c r="CE423" i="2" s="1"/>
  <c r="AW423" i="2"/>
  <c r="AX423" i="2"/>
  <c r="AX438" i="2" s="1"/>
  <c r="AX440" i="2" s="1"/>
  <c r="AY423" i="2"/>
  <c r="BC429" i="2" s="1"/>
  <c r="AZ423" i="2"/>
  <c r="BA423" i="2"/>
  <c r="BE429" i="2" s="1"/>
  <c r="BB423" i="2"/>
  <c r="BC423" i="2"/>
  <c r="BD423" i="2"/>
  <c r="BE423" i="2"/>
  <c r="BF423" i="2"/>
  <c r="BG423" i="2"/>
  <c r="BG438" i="2" s="1"/>
  <c r="BH423" i="2"/>
  <c r="BI423" i="2"/>
  <c r="BI438" i="2" s="1"/>
  <c r="BI439" i="2" s="1"/>
  <c r="BJ423" i="2"/>
  <c r="BQ423" i="2"/>
  <c r="BQ442" i="2" s="1"/>
  <c r="BQ444" i="2" s="1"/>
  <c r="BR423" i="2"/>
  <c r="BS423" i="2"/>
  <c r="BT423" i="2"/>
  <c r="BT438" i="2" s="1"/>
  <c r="BU423" i="2"/>
  <c r="BU442" i="2" s="1"/>
  <c r="BV423" i="2"/>
  <c r="BW423" i="2"/>
  <c r="BX423" i="2"/>
  <c r="BY423" i="2"/>
  <c r="BZ423" i="2"/>
  <c r="CA423" i="2"/>
  <c r="CB423" i="2"/>
  <c r="CC423" i="2"/>
  <c r="CD423" i="2"/>
  <c r="CG423" i="2"/>
  <c r="H426" i="2"/>
  <c r="I426" i="2"/>
  <c r="J426" i="2"/>
  <c r="K426" i="2"/>
  <c r="L426" i="2"/>
  <c r="M426" i="2"/>
  <c r="N426" i="2"/>
  <c r="O426" i="2"/>
  <c r="P426" i="2"/>
  <c r="Q426" i="2"/>
  <c r="R426" i="2"/>
  <c r="S426" i="2"/>
  <c r="T426" i="2"/>
  <c r="U426" i="2"/>
  <c r="V426" i="2"/>
  <c r="W426" i="2"/>
  <c r="X426" i="2"/>
  <c r="Y426" i="2"/>
  <c r="Z426" i="2"/>
  <c r="AA426" i="2"/>
  <c r="AB426" i="2"/>
  <c r="AC426" i="2"/>
  <c r="AD426" i="2"/>
  <c r="AE426" i="2"/>
  <c r="AF426" i="2"/>
  <c r="AG426" i="2"/>
  <c r="AH426" i="2"/>
  <c r="AI426" i="2"/>
  <c r="AJ426" i="2"/>
  <c r="AK426" i="2"/>
  <c r="AL426" i="2"/>
  <c r="AM426" i="2"/>
  <c r="AN426" i="2"/>
  <c r="AO426" i="2"/>
  <c r="AP426" i="2"/>
  <c r="AQ426" i="2"/>
  <c r="AR426" i="2"/>
  <c r="AS426" i="2"/>
  <c r="AT426" i="2"/>
  <c r="AU426" i="2"/>
  <c r="AV426" i="2"/>
  <c r="AW426" i="2"/>
  <c r="AX426" i="2"/>
  <c r="AY426" i="2"/>
  <c r="AZ426" i="2"/>
  <c r="BA426" i="2"/>
  <c r="BB426" i="2"/>
  <c r="BC426" i="2"/>
  <c r="BD426" i="2"/>
  <c r="BE426" i="2"/>
  <c r="BF426" i="2"/>
  <c r="BG426" i="2"/>
  <c r="BH426" i="2"/>
  <c r="BI426" i="2"/>
  <c r="BJ426" i="2"/>
  <c r="BR426" i="2"/>
  <c r="BS426" i="2"/>
  <c r="BT426" i="2"/>
  <c r="BU426" i="2"/>
  <c r="BV426" i="2"/>
  <c r="BW426" i="2"/>
  <c r="BX426" i="2"/>
  <c r="BY426" i="2"/>
  <c r="BZ426" i="2"/>
  <c r="CA426" i="2"/>
  <c r="CB426" i="2"/>
  <c r="CE426" i="2"/>
  <c r="CF426" i="2"/>
  <c r="CG426" i="2"/>
  <c r="H427" i="2"/>
  <c r="I427" i="2"/>
  <c r="J427" i="2"/>
  <c r="K427" i="2"/>
  <c r="L427" i="2"/>
  <c r="M427" i="2"/>
  <c r="N427" i="2"/>
  <c r="O427" i="2"/>
  <c r="P427" i="2"/>
  <c r="Q427" i="2"/>
  <c r="R427" i="2"/>
  <c r="S427" i="2"/>
  <c r="T427" i="2"/>
  <c r="U427" i="2"/>
  <c r="V427" i="2"/>
  <c r="W427" i="2"/>
  <c r="X427" i="2"/>
  <c r="Y427" i="2"/>
  <c r="Z427" i="2"/>
  <c r="AA427" i="2"/>
  <c r="AB427" i="2"/>
  <c r="AC427" i="2"/>
  <c r="AD427" i="2"/>
  <c r="AE427" i="2"/>
  <c r="AF427" i="2"/>
  <c r="AG427" i="2"/>
  <c r="AH427" i="2"/>
  <c r="AI427" i="2"/>
  <c r="AJ427" i="2"/>
  <c r="AK427" i="2"/>
  <c r="AL427" i="2"/>
  <c r="AM427" i="2"/>
  <c r="AN427" i="2"/>
  <c r="AO427" i="2"/>
  <c r="AP427" i="2"/>
  <c r="AQ427" i="2"/>
  <c r="AR427" i="2"/>
  <c r="AS427" i="2"/>
  <c r="AT427" i="2"/>
  <c r="AU427" i="2"/>
  <c r="AV427" i="2"/>
  <c r="AW427" i="2"/>
  <c r="AX427" i="2"/>
  <c r="AY427" i="2"/>
  <c r="AZ427" i="2"/>
  <c r="BA427" i="2"/>
  <c r="BB427" i="2"/>
  <c r="BC427" i="2"/>
  <c r="BD427" i="2"/>
  <c r="BE427" i="2"/>
  <c r="BF427" i="2"/>
  <c r="BG427" i="2"/>
  <c r="BH427" i="2"/>
  <c r="BI427" i="2"/>
  <c r="BJ427" i="2"/>
  <c r="BR427" i="2"/>
  <c r="BS427" i="2"/>
  <c r="BT427" i="2"/>
  <c r="BU427" i="2"/>
  <c r="BV427" i="2"/>
  <c r="BW427" i="2"/>
  <c r="BX427" i="2"/>
  <c r="BY427" i="2"/>
  <c r="BZ427" i="2"/>
  <c r="CA427" i="2"/>
  <c r="CB427" i="2"/>
  <c r="CC427" i="2"/>
  <c r="CG427" i="2"/>
  <c r="H428" i="2"/>
  <c r="I428" i="2"/>
  <c r="J428" i="2"/>
  <c r="K428" i="2"/>
  <c r="L428" i="2"/>
  <c r="M428" i="2"/>
  <c r="N428" i="2"/>
  <c r="O428" i="2"/>
  <c r="P428" i="2"/>
  <c r="Q428" i="2"/>
  <c r="R428" i="2"/>
  <c r="S428" i="2"/>
  <c r="T428" i="2"/>
  <c r="U428" i="2"/>
  <c r="V428" i="2"/>
  <c r="W428" i="2"/>
  <c r="X428" i="2"/>
  <c r="Y428" i="2"/>
  <c r="Z428" i="2"/>
  <c r="AA428" i="2"/>
  <c r="AB428" i="2"/>
  <c r="AC428" i="2"/>
  <c r="AD428" i="2"/>
  <c r="AE428" i="2"/>
  <c r="AF428" i="2"/>
  <c r="AG428" i="2"/>
  <c r="AH428" i="2"/>
  <c r="AI428" i="2"/>
  <c r="AJ428" i="2"/>
  <c r="AK428" i="2"/>
  <c r="AL428" i="2"/>
  <c r="AM428" i="2"/>
  <c r="AN428" i="2"/>
  <c r="AO428" i="2"/>
  <c r="AP428" i="2"/>
  <c r="AQ428" i="2"/>
  <c r="AR428" i="2"/>
  <c r="AS428" i="2"/>
  <c r="AT428" i="2"/>
  <c r="AU428" i="2"/>
  <c r="AV428" i="2"/>
  <c r="AW428" i="2"/>
  <c r="AX428" i="2"/>
  <c r="AY428" i="2"/>
  <c r="AZ428" i="2"/>
  <c r="BA428" i="2"/>
  <c r="BB428" i="2"/>
  <c r="BC428" i="2"/>
  <c r="BD428" i="2"/>
  <c r="BE428" i="2"/>
  <c r="BF428" i="2"/>
  <c r="BG428" i="2"/>
  <c r="BH428" i="2"/>
  <c r="BI428" i="2"/>
  <c r="BJ428" i="2"/>
  <c r="BR428" i="2"/>
  <c r="BS428" i="2"/>
  <c r="BT428" i="2"/>
  <c r="BU428" i="2"/>
  <c r="BV428" i="2"/>
  <c r="BW428" i="2"/>
  <c r="BX428" i="2"/>
  <c r="BY428" i="2"/>
  <c r="BZ428" i="2"/>
  <c r="CA428" i="2"/>
  <c r="CB428" i="2"/>
  <c r="CC428" i="2"/>
  <c r="CE428" i="2"/>
  <c r="CF428" i="2"/>
  <c r="CG428" i="2"/>
  <c r="AK429" i="2"/>
  <c r="AQ429" i="2"/>
  <c r="AT429" i="2"/>
  <c r="AW429" i="2"/>
  <c r="AX429" i="2"/>
  <c r="AY429" i="2"/>
  <c r="BA429" i="2"/>
  <c r="BG429" i="2"/>
  <c r="BJ429" i="2"/>
  <c r="BR429" i="2"/>
  <c r="BS429" i="2"/>
  <c r="BT429" i="2"/>
  <c r="BU429" i="2"/>
  <c r="BV429" i="2"/>
  <c r="BX429" i="2"/>
  <c r="BZ429" i="2"/>
  <c r="CA429" i="2"/>
  <c r="CB429" i="2"/>
  <c r="CC429" i="2"/>
  <c r="CD429" i="2"/>
  <c r="D432" i="2"/>
  <c r="E432" i="2"/>
  <c r="F432" i="2"/>
  <c r="G432" i="2"/>
  <c r="H432" i="2"/>
  <c r="I432" i="2"/>
  <c r="J432" i="2"/>
  <c r="K432" i="2"/>
  <c r="L432" i="2"/>
  <c r="M432" i="2"/>
  <c r="N432" i="2"/>
  <c r="O432" i="2"/>
  <c r="P432" i="2"/>
  <c r="Q432" i="2"/>
  <c r="R432" i="2"/>
  <c r="S432" i="2"/>
  <c r="T432" i="2"/>
  <c r="U432" i="2"/>
  <c r="V432" i="2"/>
  <c r="W432" i="2"/>
  <c r="X432" i="2"/>
  <c r="Y432" i="2"/>
  <c r="Z432" i="2"/>
  <c r="AA432" i="2"/>
  <c r="AB432" i="2"/>
  <c r="AC432" i="2"/>
  <c r="AD432" i="2"/>
  <c r="AE432" i="2"/>
  <c r="AF432" i="2"/>
  <c r="AG432" i="2"/>
  <c r="AH432" i="2"/>
  <c r="AI432" i="2"/>
  <c r="AJ432" i="2"/>
  <c r="AK432" i="2"/>
  <c r="AL432" i="2"/>
  <c r="AM432" i="2"/>
  <c r="AN432" i="2"/>
  <c r="AO432" i="2"/>
  <c r="AP432" i="2"/>
  <c r="AQ432" i="2"/>
  <c r="AR432" i="2"/>
  <c r="AS432" i="2"/>
  <c r="AT432" i="2"/>
  <c r="AU432" i="2"/>
  <c r="AV432" i="2"/>
  <c r="AW432" i="2"/>
  <c r="AX432" i="2"/>
  <c r="AY432" i="2"/>
  <c r="AZ432" i="2"/>
  <c r="BA432" i="2"/>
  <c r="BB432" i="2"/>
  <c r="BC432" i="2"/>
  <c r="BD432" i="2"/>
  <c r="BE432" i="2"/>
  <c r="BF432" i="2"/>
  <c r="BG432" i="2"/>
  <c r="BH432" i="2"/>
  <c r="BI432" i="2"/>
  <c r="BJ432" i="2"/>
  <c r="BQ432" i="2"/>
  <c r="BR432" i="2"/>
  <c r="BS432" i="2"/>
  <c r="BT432" i="2"/>
  <c r="BU432" i="2"/>
  <c r="BV432" i="2"/>
  <c r="BW432" i="2"/>
  <c r="BX432" i="2"/>
  <c r="BY432" i="2"/>
  <c r="BZ432" i="2"/>
  <c r="CA432" i="2"/>
  <c r="CB432" i="2"/>
  <c r="CE432" i="2"/>
  <c r="CF432" i="2"/>
  <c r="CG432" i="2"/>
  <c r="D433" i="2"/>
  <c r="E433" i="2"/>
  <c r="F433" i="2"/>
  <c r="G433" i="2"/>
  <c r="H433" i="2"/>
  <c r="I433" i="2"/>
  <c r="J433" i="2"/>
  <c r="K433" i="2"/>
  <c r="L433" i="2"/>
  <c r="M433" i="2"/>
  <c r="N433" i="2"/>
  <c r="O433" i="2"/>
  <c r="P433" i="2"/>
  <c r="Q433" i="2"/>
  <c r="R433" i="2"/>
  <c r="S433" i="2"/>
  <c r="T433" i="2"/>
  <c r="U433" i="2"/>
  <c r="V433" i="2"/>
  <c r="W433" i="2"/>
  <c r="X433" i="2"/>
  <c r="Y433" i="2"/>
  <c r="Z433" i="2"/>
  <c r="AA433" i="2"/>
  <c r="AB433" i="2"/>
  <c r="AC433" i="2"/>
  <c r="AD433" i="2"/>
  <c r="AE433" i="2"/>
  <c r="AF433" i="2"/>
  <c r="AG433" i="2"/>
  <c r="AH433" i="2"/>
  <c r="AI433" i="2"/>
  <c r="AJ433" i="2"/>
  <c r="AK433" i="2"/>
  <c r="AL433" i="2"/>
  <c r="AM433" i="2"/>
  <c r="AN433" i="2"/>
  <c r="AO433" i="2"/>
  <c r="AP433" i="2"/>
  <c r="AQ433" i="2"/>
  <c r="AR433" i="2"/>
  <c r="AS433" i="2"/>
  <c r="AT433" i="2"/>
  <c r="AU433" i="2"/>
  <c r="AV433" i="2"/>
  <c r="AW433" i="2"/>
  <c r="AX433" i="2"/>
  <c r="AY433" i="2"/>
  <c r="AZ433" i="2"/>
  <c r="BA433" i="2"/>
  <c r="BB433" i="2"/>
  <c r="BC433" i="2"/>
  <c r="BD433" i="2"/>
  <c r="BE433" i="2"/>
  <c r="BF433" i="2"/>
  <c r="BG433" i="2"/>
  <c r="BH433" i="2"/>
  <c r="BI433" i="2"/>
  <c r="BJ433" i="2"/>
  <c r="BQ433" i="2"/>
  <c r="BR433" i="2"/>
  <c r="BS433" i="2"/>
  <c r="BT433" i="2"/>
  <c r="BU433" i="2"/>
  <c r="BV433" i="2"/>
  <c r="BW433" i="2"/>
  <c r="BX433" i="2"/>
  <c r="BY433" i="2"/>
  <c r="BZ433" i="2"/>
  <c r="CA433" i="2"/>
  <c r="CB433" i="2"/>
  <c r="CC433" i="2"/>
  <c r="CD433" i="2"/>
  <c r="CF433" i="2"/>
  <c r="CG433" i="2"/>
  <c r="D434" i="2"/>
  <c r="E434" i="2"/>
  <c r="F434" i="2"/>
  <c r="G434" i="2"/>
  <c r="H434" i="2"/>
  <c r="I434" i="2"/>
  <c r="J434" i="2"/>
  <c r="K434" i="2"/>
  <c r="L434" i="2"/>
  <c r="M434" i="2"/>
  <c r="N434" i="2"/>
  <c r="O434" i="2"/>
  <c r="P434" i="2"/>
  <c r="Q434" i="2"/>
  <c r="R434" i="2"/>
  <c r="S434" i="2"/>
  <c r="T434" i="2"/>
  <c r="U434" i="2"/>
  <c r="V434" i="2"/>
  <c r="W434" i="2"/>
  <c r="X434" i="2"/>
  <c r="Y434" i="2"/>
  <c r="Z434" i="2"/>
  <c r="AA434" i="2"/>
  <c r="AB434" i="2"/>
  <c r="AC434" i="2"/>
  <c r="AD434" i="2"/>
  <c r="AE434" i="2"/>
  <c r="AF434" i="2"/>
  <c r="AG434" i="2"/>
  <c r="AH434" i="2"/>
  <c r="AI434" i="2"/>
  <c r="AJ434" i="2"/>
  <c r="AK434" i="2"/>
  <c r="AL434" i="2"/>
  <c r="AM434" i="2"/>
  <c r="AN434" i="2"/>
  <c r="AO434" i="2"/>
  <c r="AP434" i="2"/>
  <c r="AQ434" i="2"/>
  <c r="AR434" i="2"/>
  <c r="AS434" i="2"/>
  <c r="AT434" i="2"/>
  <c r="AU434" i="2"/>
  <c r="AV434" i="2"/>
  <c r="AW434" i="2"/>
  <c r="AX434" i="2"/>
  <c r="AY434" i="2"/>
  <c r="AZ434" i="2"/>
  <c r="BA434" i="2"/>
  <c r="BB434" i="2"/>
  <c r="BC434" i="2"/>
  <c r="BD434" i="2"/>
  <c r="BE434" i="2"/>
  <c r="BF434" i="2"/>
  <c r="BG434" i="2"/>
  <c r="BH434" i="2"/>
  <c r="BI434" i="2"/>
  <c r="BJ434" i="2"/>
  <c r="BQ434" i="2"/>
  <c r="BR434" i="2"/>
  <c r="BS434" i="2"/>
  <c r="BT434" i="2"/>
  <c r="BU434" i="2"/>
  <c r="BV434" i="2"/>
  <c r="BW434" i="2"/>
  <c r="BX434" i="2"/>
  <c r="BY434" i="2"/>
  <c r="BZ434" i="2"/>
  <c r="CA434" i="2"/>
  <c r="CB434" i="2"/>
  <c r="CC434" i="2"/>
  <c r="CD434" i="2"/>
  <c r="CE434" i="2"/>
  <c r="CF434" i="2"/>
  <c r="CG434" i="2"/>
  <c r="AJ435" i="2"/>
  <c r="AK435" i="2"/>
  <c r="AL435" i="2"/>
  <c r="AM435" i="2"/>
  <c r="AN435" i="2"/>
  <c r="AO435" i="2"/>
  <c r="AP435" i="2"/>
  <c r="AQ435" i="2"/>
  <c r="AR435" i="2"/>
  <c r="AS435" i="2"/>
  <c r="AT435" i="2"/>
  <c r="AU435" i="2"/>
  <c r="AV435" i="2"/>
  <c r="AW435" i="2"/>
  <c r="AX435" i="2"/>
  <c r="AY435" i="2"/>
  <c r="AZ435" i="2"/>
  <c r="BA435" i="2"/>
  <c r="BB435" i="2"/>
  <c r="BC435" i="2"/>
  <c r="BD435" i="2"/>
  <c r="BE435" i="2"/>
  <c r="BF435" i="2"/>
  <c r="BG435" i="2"/>
  <c r="BH435" i="2"/>
  <c r="BI435" i="2"/>
  <c r="BJ435" i="2"/>
  <c r="BQ435" i="2"/>
  <c r="BR435" i="2"/>
  <c r="BS435" i="2"/>
  <c r="BT435" i="2"/>
  <c r="BU435" i="2"/>
  <c r="BV435" i="2"/>
  <c r="BW435" i="2"/>
  <c r="BX435" i="2"/>
  <c r="BY435" i="2"/>
  <c r="BZ435" i="2"/>
  <c r="CA435" i="2"/>
  <c r="CB435" i="2"/>
  <c r="CC435" i="2"/>
  <c r="CD435" i="2"/>
  <c r="CG435" i="2"/>
  <c r="E438" i="2"/>
  <c r="G438" i="2"/>
  <c r="H438" i="2"/>
  <c r="H440" i="2" s="1"/>
  <c r="I438" i="2"/>
  <c r="I440" i="2" s="1"/>
  <c r="J438" i="2"/>
  <c r="N438" i="2"/>
  <c r="O438" i="2"/>
  <c r="O440" i="2" s="1"/>
  <c r="P438" i="2"/>
  <c r="P440" i="2" s="1"/>
  <c r="Q438" i="2"/>
  <c r="S438" i="2"/>
  <c r="S439" i="2" s="1"/>
  <c r="U438" i="2"/>
  <c r="U439" i="2" s="1"/>
  <c r="W438" i="2"/>
  <c r="W439" i="2" s="1"/>
  <c r="X438" i="2"/>
  <c r="X440" i="2" s="1"/>
  <c r="Y438" i="2"/>
  <c r="Y440" i="2" s="1"/>
  <c r="Z438" i="2"/>
  <c r="AD438" i="2"/>
  <c r="AE438" i="2"/>
  <c r="AE440" i="2" s="1"/>
  <c r="AF438" i="2"/>
  <c r="AF440" i="2" s="1"/>
  <c r="AG438" i="2"/>
  <c r="AI438" i="2"/>
  <c r="AI439" i="2" s="1"/>
  <c r="AK438" i="2"/>
  <c r="AK439" i="2" s="1"/>
  <c r="AM438" i="2"/>
  <c r="AM439" i="2" s="1"/>
  <c r="AN438" i="2"/>
  <c r="AN440" i="2" s="1"/>
  <c r="AO438" i="2"/>
  <c r="AO440" i="2" s="1"/>
  <c r="AP438" i="2"/>
  <c r="AT438" i="2"/>
  <c r="AU438" i="2"/>
  <c r="AU440" i="2" s="1"/>
  <c r="AV438" i="2"/>
  <c r="AV440" i="2" s="1"/>
  <c r="AW438" i="2"/>
  <c r="AY438" i="2"/>
  <c r="AY439" i="2" s="1"/>
  <c r="BA438" i="2"/>
  <c r="BA439" i="2" s="1"/>
  <c r="BC438" i="2"/>
  <c r="BC439" i="2" s="1"/>
  <c r="BD438" i="2"/>
  <c r="BD440" i="2" s="1"/>
  <c r="BE438" i="2"/>
  <c r="BE440" i="2" s="1"/>
  <c r="BF438" i="2"/>
  <c r="BJ438" i="2"/>
  <c r="BQ438" i="2"/>
  <c r="BQ440" i="2" s="1"/>
  <c r="BR438" i="2"/>
  <c r="BR440" i="2" s="1"/>
  <c r="BS438" i="2"/>
  <c r="BU438" i="2"/>
  <c r="BU440" i="2" s="1"/>
  <c r="BW438" i="2"/>
  <c r="BY438" i="2"/>
  <c r="BZ438" i="2"/>
  <c r="CA438" i="2"/>
  <c r="CA440" i="2" s="1"/>
  <c r="CB438" i="2"/>
  <c r="CG438" i="2"/>
  <c r="CG440" i="2" s="1"/>
  <c r="AH439" i="2"/>
  <c r="CA439" i="2"/>
  <c r="E440" i="2"/>
  <c r="G440" i="2"/>
  <c r="N440" i="2"/>
  <c r="Q440" i="2"/>
  <c r="U440" i="2"/>
  <c r="W440" i="2"/>
  <c r="AC440" i="2"/>
  <c r="AD440" i="2"/>
  <c r="AG440" i="2"/>
  <c r="AK440" i="2"/>
  <c r="AS440" i="2"/>
  <c r="AT440" i="2"/>
  <c r="AW440" i="2"/>
  <c r="BA440" i="2"/>
  <c r="BC440" i="2"/>
  <c r="BJ440" i="2"/>
  <c r="BS440" i="2"/>
  <c r="BW440" i="2"/>
  <c r="BY440" i="2"/>
  <c r="E442" i="2"/>
  <c r="G442" i="2"/>
  <c r="H442" i="2"/>
  <c r="H444" i="2" s="1"/>
  <c r="I442" i="2"/>
  <c r="I452" i="2" s="1"/>
  <c r="I455" i="2" s="1"/>
  <c r="J442" i="2"/>
  <c r="N443" i="2" s="1"/>
  <c r="K442" i="2"/>
  <c r="K452" i="2" s="1"/>
  <c r="M442" i="2"/>
  <c r="M444" i="2" s="1"/>
  <c r="N442" i="2"/>
  <c r="P442" i="2"/>
  <c r="P452" i="2" s="1"/>
  <c r="P455" i="2" s="1"/>
  <c r="Q442" i="2"/>
  <c r="R442" i="2"/>
  <c r="R452" i="2" s="1"/>
  <c r="U442" i="2"/>
  <c r="W442" i="2"/>
  <c r="W452" i="2" s="1"/>
  <c r="W457" i="2" s="1"/>
  <c r="W459" i="2" s="1"/>
  <c r="X442" i="2"/>
  <c r="Y442" i="2"/>
  <c r="Y444" i="2" s="1"/>
  <c r="Z442" i="2"/>
  <c r="AA442" i="2"/>
  <c r="AC442" i="2"/>
  <c r="AC444" i="2" s="1"/>
  <c r="AD442" i="2"/>
  <c r="AF442" i="2"/>
  <c r="AF452" i="2" s="1"/>
  <c r="AF455" i="2" s="1"/>
  <c r="AG442" i="2"/>
  <c r="AH442" i="2"/>
  <c r="AH452" i="2" s="1"/>
  <c r="AK442" i="2"/>
  <c r="AM442" i="2"/>
  <c r="AM452" i="2" s="1"/>
  <c r="AN442" i="2"/>
  <c r="AO442" i="2"/>
  <c r="AP442" i="2"/>
  <c r="AQ442" i="2"/>
  <c r="AS442" i="2"/>
  <c r="AS444" i="2" s="1"/>
  <c r="AT442" i="2"/>
  <c r="AV442" i="2"/>
  <c r="AV452" i="2" s="1"/>
  <c r="AV455" i="2" s="1"/>
  <c r="AW442" i="2"/>
  <c r="AX442" i="2"/>
  <c r="AX452" i="2" s="1"/>
  <c r="BA442" i="2"/>
  <c r="BC442" i="2"/>
  <c r="BC452" i="2" s="1"/>
  <c r="BD442" i="2"/>
  <c r="BE442" i="2"/>
  <c r="BF442" i="2"/>
  <c r="BG442" i="2"/>
  <c r="BI442" i="2"/>
  <c r="BI444" i="2" s="1"/>
  <c r="BJ442" i="2"/>
  <c r="BR442" i="2"/>
  <c r="BR452" i="2" s="1"/>
  <c r="BR455" i="2" s="1"/>
  <c r="BS442" i="2"/>
  <c r="BT442" i="2"/>
  <c r="BT452" i="2" s="1"/>
  <c r="BW442" i="2"/>
  <c r="BY442" i="2"/>
  <c r="BY452" i="2" s="1"/>
  <c r="BZ442" i="2"/>
  <c r="BZ444" i="2" s="1"/>
  <c r="CA442" i="2"/>
  <c r="CB442" i="2"/>
  <c r="AC443" i="2"/>
  <c r="AK443" i="2"/>
  <c r="AS443" i="2"/>
  <c r="BA443" i="2"/>
  <c r="BZ443" i="2"/>
  <c r="E444" i="2"/>
  <c r="G444" i="2"/>
  <c r="J444" i="2"/>
  <c r="N444" i="2"/>
  <c r="R444" i="2"/>
  <c r="U444" i="2"/>
  <c r="W444" i="2"/>
  <c r="Z444" i="2"/>
  <c r="AA444" i="2"/>
  <c r="AD444" i="2"/>
  <c r="AH444" i="2"/>
  <c r="AK444" i="2"/>
  <c r="AM444" i="2"/>
  <c r="AO444" i="2"/>
  <c r="AP444" i="2"/>
  <c r="AQ444" i="2"/>
  <c r="AT444" i="2"/>
  <c r="AX444" i="2"/>
  <c r="BA444" i="2"/>
  <c r="BC444" i="2"/>
  <c r="BG444" i="2"/>
  <c r="BJ444" i="2"/>
  <c r="BT444" i="2"/>
  <c r="BW444" i="2"/>
  <c r="BY444" i="2"/>
  <c r="CA444" i="2"/>
  <c r="CB444" i="2"/>
  <c r="CA448" i="2"/>
  <c r="CB448" i="2"/>
  <c r="CB450" i="2" s="1"/>
  <c r="CC448" i="2"/>
  <c r="CD448" i="2"/>
  <c r="CE448" i="2"/>
  <c r="CF448" i="2"/>
  <c r="CG448" i="2"/>
  <c r="CA449" i="2"/>
  <c r="CA450" i="2" s="1"/>
  <c r="CB449" i="2"/>
  <c r="CC449" i="2"/>
  <c r="CD449" i="2"/>
  <c r="CE449" i="2"/>
  <c r="CF449" i="2"/>
  <c r="CG449" i="2"/>
  <c r="CC450" i="2"/>
  <c r="CD450" i="2"/>
  <c r="CE450" i="2"/>
  <c r="CF450" i="2"/>
  <c r="CG450" i="2"/>
  <c r="H452" i="2"/>
  <c r="H457" i="2" s="1"/>
  <c r="M452" i="2"/>
  <c r="M455" i="2" s="1"/>
  <c r="N452" i="2"/>
  <c r="N457" i="2" s="1"/>
  <c r="N459" i="2" s="1"/>
  <c r="O452" i="2"/>
  <c r="O455" i="2" s="1"/>
  <c r="U452" i="2"/>
  <c r="U457" i="2" s="1"/>
  <c r="U459" i="2" s="1"/>
  <c r="U463" i="2" s="1"/>
  <c r="AC452" i="2"/>
  <c r="AC455" i="2" s="1"/>
  <c r="AD452" i="2"/>
  <c r="AD457" i="2" s="1"/>
  <c r="AD459" i="2" s="1"/>
  <c r="AE452" i="2"/>
  <c r="AE455" i="2" s="1"/>
  <c r="AK452" i="2"/>
  <c r="AK457" i="2" s="1"/>
  <c r="AK459" i="2" s="1"/>
  <c r="AK463" i="2" s="1"/>
  <c r="AN452" i="2"/>
  <c r="AS452" i="2"/>
  <c r="AS455" i="2" s="1"/>
  <c r="AT452" i="2"/>
  <c r="AU452" i="2"/>
  <c r="AU455" i="2" s="1"/>
  <c r="BA452" i="2"/>
  <c r="BA457" i="2" s="1"/>
  <c r="BA459" i="2" s="1"/>
  <c r="BA463" i="2" s="1"/>
  <c r="BI452" i="2"/>
  <c r="BI455" i="2" s="1"/>
  <c r="BJ452" i="2"/>
  <c r="BJ457" i="2" s="1"/>
  <c r="BJ459" i="2" s="1"/>
  <c r="BQ452" i="2"/>
  <c r="BQ455" i="2" s="1"/>
  <c r="BW452" i="2"/>
  <c r="BW457" i="2" s="1"/>
  <c r="BW459" i="2" s="1"/>
  <c r="BW463" i="2" s="1"/>
  <c r="BZ452" i="2"/>
  <c r="BZ457" i="2" s="1"/>
  <c r="BU454" i="2"/>
  <c r="BV454" i="2"/>
  <c r="BW454" i="2"/>
  <c r="BX454" i="2"/>
  <c r="BY454" i="2"/>
  <c r="BZ454" i="2"/>
  <c r="CA454" i="2"/>
  <c r="CB454" i="2"/>
  <c r="CC454" i="2"/>
  <c r="CD454" i="2"/>
  <c r="CE454" i="2"/>
  <c r="CF454" i="2"/>
  <c r="CG454" i="2"/>
  <c r="CF519" i="2"/>
  <c r="CK454" i="2"/>
  <c r="H455" i="2"/>
  <c r="N455" i="2"/>
  <c r="AD455" i="2"/>
  <c r="AK455" i="2"/>
  <c r="AM455" i="2"/>
  <c r="AT455" i="2"/>
  <c r="BA455" i="2"/>
  <c r="BC455" i="2"/>
  <c r="BZ455" i="2"/>
  <c r="M457" i="2"/>
  <c r="M459" i="2" s="1"/>
  <c r="O457" i="2"/>
  <c r="P457" i="2"/>
  <c r="AC457" i="2"/>
  <c r="AC459" i="2" s="1"/>
  <c r="AM457" i="2"/>
  <c r="AS457" i="2"/>
  <c r="AS459" i="2" s="1"/>
  <c r="AS462" i="2" s="1"/>
  <c r="AT457" i="2"/>
  <c r="AT459" i="2" s="1"/>
  <c r="AT463" i="2" s="1"/>
  <c r="AU457" i="2"/>
  <c r="AV457" i="2"/>
  <c r="BC457" i="2"/>
  <c r="BC459" i="2" s="1"/>
  <c r="BI457" i="2"/>
  <c r="BI459" i="2" s="1"/>
  <c r="BS458" i="2"/>
  <c r="BT458" i="2"/>
  <c r="BU458" i="2"/>
  <c r="BV458" i="2"/>
  <c r="BW458" i="2"/>
  <c r="BX458" i="2"/>
  <c r="BY458" i="2"/>
  <c r="BZ458" i="2"/>
  <c r="CA458" i="2"/>
  <c r="CB458" i="2"/>
  <c r="CC458" i="2"/>
  <c r="CD458" i="2"/>
  <c r="CE458" i="2"/>
  <c r="CF458" i="2"/>
  <c r="CG458" i="2"/>
  <c r="H459" i="2"/>
  <c r="H462" i="2" s="1"/>
  <c r="O459" i="2"/>
  <c r="O462" i="2" s="1"/>
  <c r="P459" i="2"/>
  <c r="P462" i="2" s="1"/>
  <c r="AM459" i="2"/>
  <c r="AU459" i="2"/>
  <c r="AU462" i="2" s="1"/>
  <c r="AV459" i="2"/>
  <c r="BZ459" i="2"/>
  <c r="M462" i="2"/>
  <c r="AT462" i="2"/>
  <c r="BA462" i="2"/>
  <c r="BU466" i="2"/>
  <c r="BV466" i="2"/>
  <c r="BW466" i="2"/>
  <c r="BW462" i="2"/>
  <c r="BX466" i="2"/>
  <c r="BY466" i="2"/>
  <c r="BZ466" i="2"/>
  <c r="CA466" i="2"/>
  <c r="CB466" i="2"/>
  <c r="H463" i="2"/>
  <c r="P463" i="2"/>
  <c r="AS463" i="2"/>
  <c r="AV463" i="2"/>
  <c r="BU467" i="2"/>
  <c r="BV467" i="2"/>
  <c r="BW467" i="2"/>
  <c r="BX467" i="2"/>
  <c r="BY467" i="2"/>
  <c r="BZ467" i="2"/>
  <c r="CA467" i="2"/>
  <c r="CB467" i="2"/>
  <c r="CB472" i="2"/>
  <c r="CC472" i="2"/>
  <c r="CD472" i="2"/>
  <c r="CE472" i="2"/>
  <c r="CF472" i="2"/>
  <c r="CG472" i="2"/>
  <c r="CB473" i="2"/>
  <c r="CC473" i="2"/>
  <c r="CD473" i="2"/>
  <c r="CE473" i="2"/>
  <c r="CF473" i="2"/>
  <c r="CG473" i="2"/>
  <c r="CB474" i="2"/>
  <c r="CC474" i="2"/>
  <c r="CD474" i="2"/>
  <c r="CE474" i="2"/>
  <c r="CF474" i="2"/>
  <c r="CG474" i="2"/>
  <c r="CB475" i="2"/>
  <c r="CC475" i="2"/>
  <c r="CD475" i="2"/>
  <c r="CE475" i="2"/>
  <c r="CF475" i="2"/>
  <c r="CG475" i="2"/>
  <c r="D476" i="2"/>
  <c r="D477" i="2" s="1"/>
  <c r="E476" i="2"/>
  <c r="E477" i="2" s="1"/>
  <c r="F476" i="2"/>
  <c r="F477" i="2" s="1"/>
  <c r="G476" i="2"/>
  <c r="G477" i="2" s="1"/>
  <c r="BQ476" i="2"/>
  <c r="BR476" i="2"/>
  <c r="BR477" i="2" s="1"/>
  <c r="CB476" i="2"/>
  <c r="CB477" i="2" s="1"/>
  <c r="CC476" i="2"/>
  <c r="CD476" i="2"/>
  <c r="CE476" i="2"/>
  <c r="CF476" i="2"/>
  <c r="CG476" i="2"/>
  <c r="H477" i="2"/>
  <c r="I477" i="2"/>
  <c r="J477" i="2"/>
  <c r="K477" i="2"/>
  <c r="L477" i="2"/>
  <c r="M477" i="2"/>
  <c r="N477" i="2"/>
  <c r="O477" i="2"/>
  <c r="P477" i="2"/>
  <c r="Q477" i="2"/>
  <c r="R477" i="2"/>
  <c r="S477" i="2"/>
  <c r="T477" i="2"/>
  <c r="U477" i="2"/>
  <c r="V477" i="2"/>
  <c r="W477" i="2"/>
  <c r="X477" i="2"/>
  <c r="Y477" i="2"/>
  <c r="Z477" i="2"/>
  <c r="AA477" i="2"/>
  <c r="AB477" i="2"/>
  <c r="AC477" i="2"/>
  <c r="AD477" i="2"/>
  <c r="AE477" i="2"/>
  <c r="AF477" i="2"/>
  <c r="AG477" i="2"/>
  <c r="AH477" i="2"/>
  <c r="AI477" i="2"/>
  <c r="AJ477" i="2"/>
  <c r="AK477" i="2"/>
  <c r="AL477" i="2"/>
  <c r="AM477" i="2"/>
  <c r="AN477" i="2"/>
  <c r="AO477" i="2"/>
  <c r="AP477" i="2"/>
  <c r="AQ477" i="2"/>
  <c r="AR477" i="2"/>
  <c r="AS477" i="2"/>
  <c r="AT477" i="2"/>
  <c r="AU477" i="2"/>
  <c r="AV477" i="2"/>
  <c r="AW477" i="2"/>
  <c r="AX477" i="2"/>
  <c r="AY477" i="2"/>
  <c r="AZ477" i="2"/>
  <c r="BA477" i="2"/>
  <c r="BB477" i="2"/>
  <c r="BC477" i="2"/>
  <c r="BD477" i="2"/>
  <c r="BE477" i="2"/>
  <c r="BF477" i="2"/>
  <c r="BG477" i="2"/>
  <c r="BH477" i="2"/>
  <c r="BI477" i="2"/>
  <c r="BJ477" i="2"/>
  <c r="BQ477" i="2"/>
  <c r="BS477" i="2"/>
  <c r="BT477" i="2"/>
  <c r="BU477" i="2"/>
  <c r="BV477" i="2"/>
  <c r="BW477" i="2"/>
  <c r="BY477" i="2"/>
  <c r="BZ477" i="2"/>
  <c r="CA477" i="2"/>
  <c r="CC477" i="2"/>
  <c r="CD477" i="2"/>
  <c r="CE477" i="2"/>
  <c r="CF477" i="2"/>
  <c r="CG477" i="2"/>
  <c r="BU480" i="2"/>
  <c r="BV480" i="2"/>
  <c r="BW480" i="2"/>
  <c r="BX480" i="2"/>
  <c r="BY480" i="2"/>
  <c r="BZ480" i="2"/>
  <c r="CA480" i="2"/>
  <c r="CA484" i="2" s="1"/>
  <c r="CA485" i="2" s="1"/>
  <c r="CB480" i="2"/>
  <c r="CC480" i="2"/>
  <c r="CD480" i="2"/>
  <c r="CE480" i="2"/>
  <c r="CF480" i="2"/>
  <c r="CG480" i="2"/>
  <c r="BU481" i="2"/>
  <c r="BV481" i="2"/>
  <c r="BW481" i="2"/>
  <c r="BW484" i="2" s="1"/>
  <c r="BW485" i="2" s="1"/>
  <c r="BX481" i="2"/>
  <c r="BY481" i="2"/>
  <c r="BZ481" i="2"/>
  <c r="CA481" i="2"/>
  <c r="CB481" i="2"/>
  <c r="CC481" i="2"/>
  <c r="CD481" i="2"/>
  <c r="CE481" i="2"/>
  <c r="CF481" i="2"/>
  <c r="CG481" i="2"/>
  <c r="BU482" i="2"/>
  <c r="BV482" i="2"/>
  <c r="BW482" i="2"/>
  <c r="BX482" i="2"/>
  <c r="BX484" i="2" s="1"/>
  <c r="BX485" i="2" s="1"/>
  <c r="BY482" i="2"/>
  <c r="BY484" i="2" s="1"/>
  <c r="BY485" i="2" s="1"/>
  <c r="BZ482" i="2"/>
  <c r="CA482" i="2"/>
  <c r="CB482" i="2"/>
  <c r="CC482" i="2"/>
  <c r="CD482" i="2"/>
  <c r="CE482" i="2"/>
  <c r="CF482" i="2"/>
  <c r="CG482" i="2"/>
  <c r="BU483" i="2"/>
  <c r="BV483" i="2"/>
  <c r="BW483" i="2"/>
  <c r="BX483" i="2"/>
  <c r="BY483" i="2"/>
  <c r="BZ483" i="2"/>
  <c r="CA483" i="2"/>
  <c r="CB483" i="2"/>
  <c r="CB484" i="2" s="1"/>
  <c r="CB485" i="2" s="1"/>
  <c r="CC483" i="2"/>
  <c r="CD483" i="2"/>
  <c r="CE483" i="2"/>
  <c r="CF483" i="2"/>
  <c r="CG483" i="2"/>
  <c r="D484" i="2"/>
  <c r="E484" i="2"/>
  <c r="E485" i="2" s="1"/>
  <c r="F484" i="2"/>
  <c r="G484" i="2"/>
  <c r="H484" i="2"/>
  <c r="I484" i="2"/>
  <c r="I485" i="2" s="1"/>
  <c r="J484" i="2"/>
  <c r="K484" i="2"/>
  <c r="K485" i="2" s="1"/>
  <c r="L484" i="2"/>
  <c r="L485" i="2" s="1"/>
  <c r="M484" i="2"/>
  <c r="M485" i="2" s="1"/>
  <c r="N484" i="2"/>
  <c r="N485" i="2" s="1"/>
  <c r="O484" i="2"/>
  <c r="O485" i="2" s="1"/>
  <c r="P484" i="2"/>
  <c r="Q484" i="2"/>
  <c r="R484" i="2"/>
  <c r="S484" i="2"/>
  <c r="T484" i="2"/>
  <c r="U484" i="2"/>
  <c r="U485" i="2" s="1"/>
  <c r="V484" i="2"/>
  <c r="W484" i="2"/>
  <c r="X484" i="2"/>
  <c r="Y484" i="2"/>
  <c r="Y485" i="2" s="1"/>
  <c r="AA484" i="2"/>
  <c r="AB484" i="2"/>
  <c r="AB485" i="2" s="1"/>
  <c r="AC484" i="2"/>
  <c r="AD484" i="2"/>
  <c r="AD485" i="2" s="1"/>
  <c r="AE484" i="2"/>
  <c r="AE485" i="2" s="1"/>
  <c r="AF484" i="2"/>
  <c r="AF485" i="2" s="1"/>
  <c r="AG484" i="2"/>
  <c r="AH484" i="2"/>
  <c r="AH485" i="2" s="1"/>
  <c r="AI484" i="2"/>
  <c r="AJ484" i="2"/>
  <c r="AJ485" i="2" s="1"/>
  <c r="AK484" i="2"/>
  <c r="AK485" i="2" s="1"/>
  <c r="AL484" i="2"/>
  <c r="AM484" i="2"/>
  <c r="AN484" i="2"/>
  <c r="AO484" i="2"/>
  <c r="AP484" i="2"/>
  <c r="AP485" i="2" s="1"/>
  <c r="AQ484" i="2"/>
  <c r="AR484" i="2"/>
  <c r="AR485" i="2" s="1"/>
  <c r="AS484" i="2"/>
  <c r="AT484" i="2"/>
  <c r="AU484" i="2"/>
  <c r="AV484" i="2"/>
  <c r="AV485" i="2" s="1"/>
  <c r="AW484" i="2"/>
  <c r="AX484" i="2"/>
  <c r="AX485" i="2" s="1"/>
  <c r="AY484" i="2"/>
  <c r="AY485" i="2" s="1"/>
  <c r="AZ484" i="2"/>
  <c r="BA484" i="2"/>
  <c r="BA485" i="2" s="1"/>
  <c r="BB484" i="2"/>
  <c r="BC484" i="2"/>
  <c r="BD484" i="2"/>
  <c r="BE484" i="2"/>
  <c r="BF484" i="2"/>
  <c r="CG484" i="2" s="1"/>
  <c r="CG485" i="2" s="1"/>
  <c r="BG484" i="2"/>
  <c r="BH484" i="2"/>
  <c r="BH485" i="2" s="1"/>
  <c r="BI484" i="2"/>
  <c r="BJ484" i="2"/>
  <c r="BQ484" i="2"/>
  <c r="BR484" i="2"/>
  <c r="BS484" i="2"/>
  <c r="BT484" i="2"/>
  <c r="BT485" i="2" s="1"/>
  <c r="BU484" i="2"/>
  <c r="BU485" i="2" s="1"/>
  <c r="BV484" i="2"/>
  <c r="BV485" i="2" s="1"/>
  <c r="CC484" i="2"/>
  <c r="CC485" i="2" s="1"/>
  <c r="CE484" i="2"/>
  <c r="CE485" i="2" s="1"/>
  <c r="D485" i="2"/>
  <c r="F485" i="2"/>
  <c r="G485" i="2"/>
  <c r="H485" i="2"/>
  <c r="J485" i="2"/>
  <c r="P485" i="2"/>
  <c r="Q485" i="2"/>
  <c r="R485" i="2"/>
  <c r="S485" i="2"/>
  <c r="T485" i="2"/>
  <c r="V485" i="2"/>
  <c r="W485" i="2"/>
  <c r="X485" i="2"/>
  <c r="Z485" i="2"/>
  <c r="AA485" i="2"/>
  <c r="AC485" i="2"/>
  <c r="AG485" i="2"/>
  <c r="AI485" i="2"/>
  <c r="AL485" i="2"/>
  <c r="AM485" i="2"/>
  <c r="AN485" i="2"/>
  <c r="AO485" i="2"/>
  <c r="AQ485" i="2"/>
  <c r="AS485" i="2"/>
  <c r="AT485" i="2"/>
  <c r="AU485" i="2"/>
  <c r="AW485" i="2"/>
  <c r="BB485" i="2"/>
  <c r="BC485" i="2"/>
  <c r="BD485" i="2"/>
  <c r="BE485" i="2"/>
  <c r="BG485" i="2"/>
  <c r="BI485" i="2"/>
  <c r="BJ485" i="2"/>
  <c r="BQ485" i="2"/>
  <c r="BR485" i="2"/>
  <c r="BS485" i="2"/>
  <c r="BU489" i="2"/>
  <c r="BV489" i="2"/>
  <c r="BV493" i="2" s="1"/>
  <c r="BV494" i="2" s="1"/>
  <c r="BW489" i="2"/>
  <c r="BX489" i="2"/>
  <c r="BX493" i="2" s="1"/>
  <c r="BX494" i="2" s="1"/>
  <c r="BY489" i="2"/>
  <c r="BZ489" i="2"/>
  <c r="CA489" i="2"/>
  <c r="CB489" i="2"/>
  <c r="CC489" i="2"/>
  <c r="CD489" i="2"/>
  <c r="CE489" i="2"/>
  <c r="CF489" i="2"/>
  <c r="CG489" i="2"/>
  <c r="BU490" i="2"/>
  <c r="BV490" i="2"/>
  <c r="BW490" i="2"/>
  <c r="BX490" i="2"/>
  <c r="BY490" i="2"/>
  <c r="BY493" i="2" s="1"/>
  <c r="BY494" i="2" s="1"/>
  <c r="BZ490" i="2"/>
  <c r="BZ493" i="2" s="1"/>
  <c r="BZ494" i="2" s="1"/>
  <c r="CA490" i="2"/>
  <c r="CA493" i="2" s="1"/>
  <c r="CA494" i="2" s="1"/>
  <c r="CB490" i="2"/>
  <c r="CC490" i="2"/>
  <c r="CD490" i="2"/>
  <c r="CE490" i="2"/>
  <c r="CF490" i="2"/>
  <c r="CG490" i="2"/>
  <c r="BU491" i="2"/>
  <c r="BV491" i="2"/>
  <c r="BW491" i="2"/>
  <c r="BX491" i="2"/>
  <c r="BY491" i="2"/>
  <c r="BZ491" i="2"/>
  <c r="CA491" i="2"/>
  <c r="CB491" i="2"/>
  <c r="CC491" i="2"/>
  <c r="CD491" i="2"/>
  <c r="CE491" i="2"/>
  <c r="CF491" i="2"/>
  <c r="CG491" i="2"/>
  <c r="BU492" i="2"/>
  <c r="BV492" i="2"/>
  <c r="BW492" i="2"/>
  <c r="BX492" i="2"/>
  <c r="BY492" i="2"/>
  <c r="BZ492" i="2"/>
  <c r="CA492" i="2"/>
  <c r="CB492" i="2"/>
  <c r="CC492" i="2"/>
  <c r="CD492" i="2"/>
  <c r="CE492" i="2"/>
  <c r="CF492" i="2"/>
  <c r="CG492" i="2"/>
  <c r="D493" i="2"/>
  <c r="E493" i="2"/>
  <c r="F493" i="2"/>
  <c r="G493" i="2"/>
  <c r="H493" i="2"/>
  <c r="I493" i="2"/>
  <c r="I494" i="2" s="1"/>
  <c r="J493" i="2"/>
  <c r="K493" i="2"/>
  <c r="K494" i="2" s="1"/>
  <c r="L493" i="2"/>
  <c r="M493" i="2"/>
  <c r="M494" i="2" s="1"/>
  <c r="N493" i="2"/>
  <c r="N494" i="2" s="1"/>
  <c r="O493" i="2"/>
  <c r="O494" i="2" s="1"/>
  <c r="P493" i="2"/>
  <c r="P494" i="2" s="1"/>
  <c r="Q493" i="2"/>
  <c r="R493" i="2"/>
  <c r="R494" i="2" s="1"/>
  <c r="S493" i="2"/>
  <c r="S494" i="2" s="1"/>
  <c r="T493" i="2"/>
  <c r="U493" i="2"/>
  <c r="V493" i="2"/>
  <c r="W493" i="2"/>
  <c r="X493" i="2"/>
  <c r="Y493" i="2"/>
  <c r="Y494" i="2" s="1"/>
  <c r="Z493" i="2"/>
  <c r="AA493" i="2"/>
  <c r="AA494" i="2" s="1"/>
  <c r="AB493" i="2"/>
  <c r="AC493" i="2"/>
  <c r="AC494" i="2" s="1"/>
  <c r="AD493" i="2"/>
  <c r="AD494" i="2" s="1"/>
  <c r="AE493" i="2"/>
  <c r="AE494" i="2" s="1"/>
  <c r="AF493" i="2"/>
  <c r="AF494" i="2" s="1"/>
  <c r="AG493" i="2"/>
  <c r="AG494" i="2" s="1"/>
  <c r="AH493" i="2"/>
  <c r="AH494" i="2" s="1"/>
  <c r="AI493" i="2"/>
  <c r="AI494" i="2" s="1"/>
  <c r="AJ493" i="2"/>
  <c r="AK493" i="2"/>
  <c r="AL493" i="2"/>
  <c r="AM493" i="2"/>
  <c r="AN493" i="2"/>
  <c r="AO493" i="2"/>
  <c r="AO494" i="2" s="1"/>
  <c r="AP493" i="2"/>
  <c r="AQ493" i="2"/>
  <c r="AQ494" i="2" s="1"/>
  <c r="AR493" i="2"/>
  <c r="AS493" i="2"/>
  <c r="AT493" i="2"/>
  <c r="AU493" i="2"/>
  <c r="AU494" i="2" s="1"/>
  <c r="AV493" i="2"/>
  <c r="AV494" i="2" s="1"/>
  <c r="AW493" i="2"/>
  <c r="AW494" i="2" s="1"/>
  <c r="AX493" i="2"/>
  <c r="AX494" i="2" s="1"/>
  <c r="AY493" i="2"/>
  <c r="AZ493" i="2"/>
  <c r="BA493" i="2"/>
  <c r="BB493" i="2"/>
  <c r="BC493" i="2"/>
  <c r="BD493" i="2"/>
  <c r="BE493" i="2"/>
  <c r="BE494" i="2" s="1"/>
  <c r="BF493" i="2"/>
  <c r="BG493" i="2"/>
  <c r="BG494" i="2" s="1"/>
  <c r="BH493" i="2"/>
  <c r="BI493" i="2"/>
  <c r="BJ493" i="2"/>
  <c r="BQ493" i="2"/>
  <c r="BR493" i="2"/>
  <c r="BR494" i="2" s="1"/>
  <c r="BS493" i="2"/>
  <c r="BT493" i="2"/>
  <c r="BT494" i="2" s="1"/>
  <c r="BU493" i="2"/>
  <c r="BU494" i="2" s="1"/>
  <c r="CB493" i="2"/>
  <c r="CF493" i="2"/>
  <c r="D494" i="2"/>
  <c r="E494" i="2"/>
  <c r="F494" i="2"/>
  <c r="G494" i="2"/>
  <c r="H494" i="2"/>
  <c r="J494" i="2"/>
  <c r="L494" i="2"/>
  <c r="Q494" i="2"/>
  <c r="T494" i="2"/>
  <c r="U494" i="2"/>
  <c r="V494" i="2"/>
  <c r="W494" i="2"/>
  <c r="X494" i="2"/>
  <c r="Z494" i="2"/>
  <c r="AB494" i="2"/>
  <c r="AJ494" i="2"/>
  <c r="AK494" i="2"/>
  <c r="AL494" i="2"/>
  <c r="AM494" i="2"/>
  <c r="AN494" i="2"/>
  <c r="AP494" i="2"/>
  <c r="AR494" i="2"/>
  <c r="AS494" i="2"/>
  <c r="AT494" i="2"/>
  <c r="AZ494" i="2"/>
  <c r="BA494" i="2"/>
  <c r="BB494" i="2"/>
  <c r="BC494" i="2"/>
  <c r="BD494" i="2"/>
  <c r="BF494" i="2"/>
  <c r="BH494" i="2"/>
  <c r="BI494" i="2"/>
  <c r="BJ494" i="2"/>
  <c r="BQ494" i="2"/>
  <c r="BS494" i="2"/>
  <c r="CB494" i="2"/>
  <c r="CF494" i="2"/>
  <c r="BU497" i="2"/>
  <c r="BV497" i="2"/>
  <c r="BV501" i="2" s="1"/>
  <c r="BV502" i="2" s="1"/>
  <c r="BW497" i="2"/>
  <c r="BW501" i="2" s="1"/>
  <c r="BW502" i="2" s="1"/>
  <c r="BX497" i="2"/>
  <c r="BX501" i="2" s="1"/>
  <c r="BX502" i="2" s="1"/>
  <c r="BY497" i="2"/>
  <c r="BZ497" i="2"/>
  <c r="CA497" i="2"/>
  <c r="CB497" i="2"/>
  <c r="CC497" i="2"/>
  <c r="CD497" i="2"/>
  <c r="CE497" i="2"/>
  <c r="CF497" i="2"/>
  <c r="CG497" i="2"/>
  <c r="BU498" i="2"/>
  <c r="BU501" i="2" s="1"/>
  <c r="BU502" i="2" s="1"/>
  <c r="BV498" i="2"/>
  <c r="BW498" i="2"/>
  <c r="BX498" i="2"/>
  <c r="BY498" i="2"/>
  <c r="BY501" i="2" s="1"/>
  <c r="BY502" i="2" s="1"/>
  <c r="BZ498" i="2"/>
  <c r="BZ501" i="2" s="1"/>
  <c r="BZ502" i="2" s="1"/>
  <c r="CA498" i="2"/>
  <c r="CB498" i="2"/>
  <c r="CC498" i="2"/>
  <c r="CD498" i="2"/>
  <c r="CE498" i="2"/>
  <c r="CF498" i="2"/>
  <c r="CG498" i="2"/>
  <c r="BU499" i="2"/>
  <c r="BV499" i="2"/>
  <c r="BW499" i="2"/>
  <c r="BX499" i="2"/>
  <c r="BY499" i="2"/>
  <c r="BZ499" i="2"/>
  <c r="CA499" i="2"/>
  <c r="CB499" i="2"/>
  <c r="CB501" i="2" s="1"/>
  <c r="CB502" i="2" s="1"/>
  <c r="CC499" i="2"/>
  <c r="CD499" i="2"/>
  <c r="CE499" i="2"/>
  <c r="CF499" i="2"/>
  <c r="CG499" i="2"/>
  <c r="BU500" i="2"/>
  <c r="BV500" i="2"/>
  <c r="BW500" i="2"/>
  <c r="BX500" i="2"/>
  <c r="BY500" i="2"/>
  <c r="BZ500" i="2"/>
  <c r="CA500" i="2"/>
  <c r="CB500" i="2"/>
  <c r="CC500" i="2"/>
  <c r="CD500" i="2"/>
  <c r="CE500" i="2"/>
  <c r="CF500" i="2"/>
  <c r="CG500" i="2"/>
  <c r="D501" i="2"/>
  <c r="D502" i="2" s="1"/>
  <c r="E501" i="2"/>
  <c r="F501" i="2"/>
  <c r="G501" i="2"/>
  <c r="H501" i="2"/>
  <c r="I501" i="2"/>
  <c r="J501" i="2"/>
  <c r="J502" i="2" s="1"/>
  <c r="K501" i="2"/>
  <c r="K502" i="2" s="1"/>
  <c r="L501" i="2"/>
  <c r="L502" i="2" s="1"/>
  <c r="M501" i="2"/>
  <c r="M502" i="2" s="1"/>
  <c r="N501" i="2"/>
  <c r="N502" i="2" s="1"/>
  <c r="O501" i="2"/>
  <c r="P501" i="2"/>
  <c r="Q501" i="2"/>
  <c r="R501" i="2"/>
  <c r="R502" i="2" s="1"/>
  <c r="S501" i="2"/>
  <c r="T501" i="2"/>
  <c r="T502" i="2" s="1"/>
  <c r="U501" i="2"/>
  <c r="V501" i="2"/>
  <c r="W501" i="2"/>
  <c r="X501" i="2"/>
  <c r="X502" i="2" s="1"/>
  <c r="Y501" i="2"/>
  <c r="Z501" i="2"/>
  <c r="AA501" i="2"/>
  <c r="AA502" i="2" s="1"/>
  <c r="AB501" i="2"/>
  <c r="AB502" i="2" s="1"/>
  <c r="AC501" i="2"/>
  <c r="AC502" i="2" s="1"/>
  <c r="AD501" i="2"/>
  <c r="AD502" i="2" s="1"/>
  <c r="AE501" i="2"/>
  <c r="AE502" i="2" s="1"/>
  <c r="AF501" i="2"/>
  <c r="AG501" i="2"/>
  <c r="AH501" i="2"/>
  <c r="AH502" i="2" s="1"/>
  <c r="AI501" i="2"/>
  <c r="AJ501" i="2"/>
  <c r="AJ502" i="2" s="1"/>
  <c r="AK501" i="2"/>
  <c r="AL501" i="2"/>
  <c r="AM501" i="2"/>
  <c r="AN501" i="2"/>
  <c r="AN502" i="2" s="1"/>
  <c r="AO501" i="2"/>
  <c r="AP501" i="2"/>
  <c r="AP502" i="2" s="1"/>
  <c r="AQ501" i="2"/>
  <c r="AR501" i="2"/>
  <c r="AS501" i="2"/>
  <c r="AS502" i="2" s="1"/>
  <c r="AT501" i="2"/>
  <c r="AT502" i="2" s="1"/>
  <c r="AU501" i="2"/>
  <c r="AU502" i="2" s="1"/>
  <c r="AV501" i="2"/>
  <c r="AW501" i="2"/>
  <c r="AW502" i="2" s="1"/>
  <c r="AX501" i="2"/>
  <c r="AX502" i="2" s="1"/>
  <c r="AY501" i="2"/>
  <c r="AZ501" i="2"/>
  <c r="AZ502" i="2" s="1"/>
  <c r="BA501" i="2"/>
  <c r="BB501" i="2"/>
  <c r="BC501" i="2"/>
  <c r="BD501" i="2"/>
  <c r="BD502" i="2" s="1"/>
  <c r="BE501" i="2"/>
  <c r="BF501" i="2"/>
  <c r="BF502" i="2" s="1"/>
  <c r="BG501" i="2"/>
  <c r="BH501" i="2"/>
  <c r="BI501" i="2"/>
  <c r="BI502" i="2" s="1"/>
  <c r="BJ501" i="2"/>
  <c r="BQ501" i="2"/>
  <c r="BR501" i="2"/>
  <c r="BS501" i="2"/>
  <c r="BS502" i="2" s="1"/>
  <c r="BT501" i="2"/>
  <c r="BT502" i="2" s="1"/>
  <c r="CC501" i="2"/>
  <c r="CC502" i="2" s="1"/>
  <c r="CF501" i="2"/>
  <c r="E502" i="2"/>
  <c r="F502" i="2"/>
  <c r="G502" i="2"/>
  <c r="H502" i="2"/>
  <c r="I502" i="2"/>
  <c r="O502" i="2"/>
  <c r="P502" i="2"/>
  <c r="Q502" i="2"/>
  <c r="S502" i="2"/>
  <c r="U502" i="2"/>
  <c r="V502" i="2"/>
  <c r="W502" i="2"/>
  <c r="Y502" i="2"/>
  <c r="Z502" i="2"/>
  <c r="AF502" i="2"/>
  <c r="AG502" i="2"/>
  <c r="AI502" i="2"/>
  <c r="AK502" i="2"/>
  <c r="AL502" i="2"/>
  <c r="AM502" i="2"/>
  <c r="AO502" i="2"/>
  <c r="AQ502" i="2"/>
  <c r="AR502" i="2"/>
  <c r="AV502" i="2"/>
  <c r="AY502" i="2"/>
  <c r="BA502" i="2"/>
  <c r="BB502" i="2"/>
  <c r="BC502" i="2"/>
  <c r="BE502" i="2"/>
  <c r="BG502" i="2"/>
  <c r="BH502" i="2"/>
  <c r="BJ502" i="2"/>
  <c r="BQ502" i="2"/>
  <c r="BR502" i="2"/>
  <c r="CF502" i="2"/>
  <c r="P505" i="2"/>
  <c r="BW505" i="2" s="1"/>
  <c r="BW509" i="2" s="1"/>
  <c r="BW510" i="2" s="1"/>
  <c r="Q505" i="2"/>
  <c r="Q509" i="2" s="1"/>
  <c r="Q510" i="2" s="1"/>
  <c r="BU505" i="2"/>
  <c r="BV505" i="2"/>
  <c r="BX505" i="2"/>
  <c r="BY505" i="2"/>
  <c r="BZ505" i="2"/>
  <c r="BZ509" i="2" s="1"/>
  <c r="BZ510" i="2" s="1"/>
  <c r="CA505" i="2"/>
  <c r="CB505" i="2"/>
  <c r="CB509" i="2" s="1"/>
  <c r="CB510" i="2" s="1"/>
  <c r="CC505" i="2"/>
  <c r="CD505" i="2"/>
  <c r="CE505" i="2"/>
  <c r="CF505" i="2"/>
  <c r="CG505" i="2"/>
  <c r="P506" i="2"/>
  <c r="BW506" i="2" s="1"/>
  <c r="Q506" i="2"/>
  <c r="BU506" i="2"/>
  <c r="BU509" i="2" s="1"/>
  <c r="BU510" i="2" s="1"/>
  <c r="BV506" i="2"/>
  <c r="BX506" i="2"/>
  <c r="BY506" i="2"/>
  <c r="BZ506" i="2"/>
  <c r="CA506" i="2"/>
  <c r="CB506" i="2"/>
  <c r="CC506" i="2"/>
  <c r="CD506" i="2"/>
  <c r="CE506" i="2"/>
  <c r="CF506" i="2"/>
  <c r="CG506" i="2"/>
  <c r="P507" i="2"/>
  <c r="BW507" i="2" s="1"/>
  <c r="Q507" i="2"/>
  <c r="BU507" i="2"/>
  <c r="BV507" i="2"/>
  <c r="BV509" i="2" s="1"/>
  <c r="BV510" i="2" s="1"/>
  <c r="BX507" i="2"/>
  <c r="BY507" i="2"/>
  <c r="BZ507" i="2"/>
  <c r="CA507" i="2"/>
  <c r="CB507" i="2"/>
  <c r="CC507" i="2"/>
  <c r="CD507" i="2"/>
  <c r="CE507" i="2"/>
  <c r="CF507" i="2"/>
  <c r="CG507" i="2"/>
  <c r="P508" i="2"/>
  <c r="Q508" i="2"/>
  <c r="BU508" i="2"/>
  <c r="BV508" i="2"/>
  <c r="BW508" i="2"/>
  <c r="BX508" i="2"/>
  <c r="BY508" i="2"/>
  <c r="BZ508" i="2"/>
  <c r="CA508" i="2"/>
  <c r="CB508" i="2"/>
  <c r="CC508" i="2"/>
  <c r="CD508" i="2"/>
  <c r="CE508" i="2"/>
  <c r="CF508" i="2"/>
  <c r="CG508" i="2"/>
  <c r="D509" i="2"/>
  <c r="D510" i="2" s="1"/>
  <c r="E509" i="2"/>
  <c r="F509" i="2"/>
  <c r="F510" i="2" s="1"/>
  <c r="G509" i="2"/>
  <c r="G510" i="2" s="1"/>
  <c r="H509" i="2"/>
  <c r="H510" i="2" s="1"/>
  <c r="I509" i="2"/>
  <c r="I510" i="2" s="1"/>
  <c r="J509" i="2"/>
  <c r="K509" i="2"/>
  <c r="L509" i="2"/>
  <c r="M509" i="2"/>
  <c r="N509" i="2"/>
  <c r="N510" i="2" s="1"/>
  <c r="O509" i="2"/>
  <c r="O510" i="2" s="1"/>
  <c r="R509" i="2"/>
  <c r="R510" i="2" s="1"/>
  <c r="S509" i="2"/>
  <c r="T509" i="2"/>
  <c r="T510" i="2" s="1"/>
  <c r="U509" i="2"/>
  <c r="V509" i="2"/>
  <c r="V510" i="2" s="1"/>
  <c r="W509" i="2"/>
  <c r="W510" i="2" s="1"/>
  <c r="X509" i="2"/>
  <c r="X510" i="2" s="1"/>
  <c r="Y509" i="2"/>
  <c r="Y510" i="2" s="1"/>
  <c r="Z509" i="2"/>
  <c r="AA509" i="2"/>
  <c r="AB509" i="2"/>
  <c r="AC509" i="2"/>
  <c r="AD509" i="2"/>
  <c r="AD510" i="2" s="1"/>
  <c r="AE509" i="2"/>
  <c r="AE510" i="2" s="1"/>
  <c r="AF509" i="2"/>
  <c r="AF510" i="2" s="1"/>
  <c r="AG509" i="2"/>
  <c r="AG510" i="2" s="1"/>
  <c r="AH509" i="2"/>
  <c r="AH510" i="2" s="1"/>
  <c r="AI509" i="2"/>
  <c r="AJ509" i="2"/>
  <c r="AJ510" i="2" s="1"/>
  <c r="AK509" i="2"/>
  <c r="AL509" i="2"/>
  <c r="AL510" i="2" s="1"/>
  <c r="AM509" i="2"/>
  <c r="AM510" i="2" s="1"/>
  <c r="AN509" i="2"/>
  <c r="AO509" i="2"/>
  <c r="AO510" i="2" s="1"/>
  <c r="AP509" i="2"/>
  <c r="AQ509" i="2"/>
  <c r="AR509" i="2"/>
  <c r="AS509" i="2"/>
  <c r="AT509" i="2"/>
  <c r="AT510" i="2" s="1"/>
  <c r="AU509" i="2"/>
  <c r="AU510" i="2" s="1"/>
  <c r="AV509" i="2"/>
  <c r="AV510" i="2" s="1"/>
  <c r="AW509" i="2"/>
  <c r="AW510" i="2" s="1"/>
  <c r="AX509" i="2"/>
  <c r="AX510" i="2" s="1"/>
  <c r="AY509" i="2"/>
  <c r="AZ509" i="2"/>
  <c r="CF509" i="2" s="1"/>
  <c r="CF510" i="2" s="1"/>
  <c r="BA509" i="2"/>
  <c r="BB509" i="2"/>
  <c r="BB510" i="2" s="1"/>
  <c r="BC509" i="2"/>
  <c r="BC510" i="2" s="1"/>
  <c r="BD509" i="2"/>
  <c r="BD510" i="2" s="1"/>
  <c r="BE509" i="2"/>
  <c r="BF509" i="2"/>
  <c r="BG509" i="2"/>
  <c r="BH509" i="2"/>
  <c r="BI509" i="2"/>
  <c r="BJ509" i="2"/>
  <c r="BJ510" i="2" s="1"/>
  <c r="BQ509" i="2"/>
  <c r="BQ510" i="2" s="1"/>
  <c r="BR509" i="2"/>
  <c r="BR510" i="2" s="1"/>
  <c r="BS509" i="2"/>
  <c r="BS510" i="2" s="1"/>
  <c r="BT509" i="2"/>
  <c r="BT510" i="2" s="1"/>
  <c r="BX509" i="2"/>
  <c r="BX510" i="2" s="1"/>
  <c r="BY509" i="2"/>
  <c r="BY510" i="2" s="1"/>
  <c r="CA509" i="2"/>
  <c r="CA510" i="2" s="1"/>
  <c r="E510" i="2"/>
  <c r="J510" i="2"/>
  <c r="K510" i="2"/>
  <c r="L510" i="2"/>
  <c r="M510" i="2"/>
  <c r="S510" i="2"/>
  <c r="U510" i="2"/>
  <c r="Z510" i="2"/>
  <c r="AA510" i="2"/>
  <c r="AB510" i="2"/>
  <c r="AC510" i="2"/>
  <c r="AI510" i="2"/>
  <c r="AK510" i="2"/>
  <c r="AP510" i="2"/>
  <c r="AQ510" i="2"/>
  <c r="AR510" i="2"/>
  <c r="AS510" i="2"/>
  <c r="AY510" i="2"/>
  <c r="BA510" i="2"/>
  <c r="BF510" i="2"/>
  <c r="BG510" i="2"/>
  <c r="BH510" i="2"/>
  <c r="BI510" i="2"/>
  <c r="CC516" i="2"/>
  <c r="CD516" i="2"/>
  <c r="CE516" i="2"/>
  <c r="CF516" i="2"/>
  <c r="CG516" i="2"/>
  <c r="CC517" i="2"/>
  <c r="CD517" i="2"/>
  <c r="CE517" i="2"/>
  <c r="CF517" i="2"/>
  <c r="CG517" i="2"/>
  <c r="CC518" i="2"/>
  <c r="CD518" i="2"/>
  <c r="CE518" i="2"/>
  <c r="CF518" i="2"/>
  <c r="CG518" i="2"/>
  <c r="CC519" i="2"/>
  <c r="CD519" i="2"/>
  <c r="CE519" i="2"/>
  <c r="CG519" i="2"/>
  <c r="CC520" i="2"/>
  <c r="CD520" i="2"/>
  <c r="CE520" i="2"/>
  <c r="CF520" i="2"/>
  <c r="CG520" i="2"/>
  <c r="CC521" i="2"/>
  <c r="CD521" i="2"/>
  <c r="CE521" i="2"/>
  <c r="CF521" i="2"/>
  <c r="CG521" i="2"/>
  <c r="CC522" i="2"/>
  <c r="CD522" i="2"/>
  <c r="CE522" i="2"/>
  <c r="CF522" i="2"/>
  <c r="CG522" i="2"/>
  <c r="CC523" i="2"/>
  <c r="CD523" i="2"/>
  <c r="CE523" i="2"/>
  <c r="CF523" i="2"/>
  <c r="CG523" i="2"/>
  <c r="CC524" i="2"/>
  <c r="CD524" i="2"/>
  <c r="CE524" i="2"/>
  <c r="CF524" i="2"/>
  <c r="CG524" i="2"/>
  <c r="CC525" i="2"/>
  <c r="CD525" i="2"/>
  <c r="CE525" i="2"/>
  <c r="CF525" i="2"/>
  <c r="CG525" i="2"/>
  <c r="CC526" i="2"/>
  <c r="CD526" i="2"/>
  <c r="CE526" i="2"/>
  <c r="CF526" i="2"/>
  <c r="CG526" i="2"/>
  <c r="CC527" i="2"/>
  <c r="CD527" i="2"/>
  <c r="CE527" i="2"/>
  <c r="CF527" i="2"/>
  <c r="CG527" i="2"/>
  <c r="CC528" i="2"/>
  <c r="CD528" i="2"/>
  <c r="CE528" i="2"/>
  <c r="CF528" i="2"/>
  <c r="CG528" i="2"/>
  <c r="CC529" i="2"/>
  <c r="CD529" i="2"/>
  <c r="CE529" i="2"/>
  <c r="CF529" i="2"/>
  <c r="CG529" i="2"/>
  <c r="CC530" i="2"/>
  <c r="CD530" i="2"/>
  <c r="CE530" i="2"/>
  <c r="CF530" i="2"/>
  <c r="CG530" i="2"/>
  <c r="CC531" i="2"/>
  <c r="CD531" i="2"/>
  <c r="CE531" i="2"/>
  <c r="CF531" i="2"/>
  <c r="CG531" i="2"/>
  <c r="CC532" i="2"/>
  <c r="CD532" i="2"/>
  <c r="CE532" i="2"/>
  <c r="CF532" i="2"/>
  <c r="CG532" i="2"/>
  <c r="CC533" i="2"/>
  <c r="CD533" i="2"/>
  <c r="CE533" i="2"/>
  <c r="CF533" i="2"/>
  <c r="CG533" i="2"/>
  <c r="CC534" i="2"/>
  <c r="CD534" i="2"/>
  <c r="CE534" i="2"/>
  <c r="CF534" i="2"/>
  <c r="CG534" i="2"/>
  <c r="CC535" i="2"/>
  <c r="CD535" i="2"/>
  <c r="CE535" i="2"/>
  <c r="CF535" i="2"/>
  <c r="CG535" i="2"/>
  <c r="CC536" i="2"/>
  <c r="CD536" i="2"/>
  <c r="CE536" i="2"/>
  <c r="CF536" i="2"/>
  <c r="CG536" i="2"/>
  <c r="CC537" i="2"/>
  <c r="CD537" i="2"/>
  <c r="CE537" i="2"/>
  <c r="CF537" i="2"/>
  <c r="CG537" i="2"/>
  <c r="CC538" i="2"/>
  <c r="CD538" i="2"/>
  <c r="CE538" i="2"/>
  <c r="CF538" i="2"/>
  <c r="CG538" i="2"/>
  <c r="CB539" i="2"/>
  <c r="CC539" i="2"/>
  <c r="CD539" i="2"/>
  <c r="CE539" i="2"/>
  <c r="CF539" i="2"/>
  <c r="CG539" i="2"/>
  <c r="CC541" i="2"/>
  <c r="CD541" i="2"/>
  <c r="CE541" i="2"/>
  <c r="CF541" i="2"/>
  <c r="CG541" i="2"/>
  <c r="CC542" i="2"/>
  <c r="CD542" i="2"/>
  <c r="CE542" i="2"/>
  <c r="CF542" i="2"/>
  <c r="CG542" i="2"/>
  <c r="CC543" i="2"/>
  <c r="CD543" i="2"/>
  <c r="CE543" i="2"/>
  <c r="CF543" i="2"/>
  <c r="CG543" i="2"/>
  <c r="CC544" i="2"/>
  <c r="CD544" i="2"/>
  <c r="CE544" i="2"/>
  <c r="CF544" i="2"/>
  <c r="CG544" i="2"/>
  <c r="CE545" i="2"/>
  <c r="CF545" i="2"/>
  <c r="CG545" i="2"/>
  <c r="CE546" i="2"/>
  <c r="CF546" i="2"/>
  <c r="CG546" i="2"/>
  <c r="CC547" i="2"/>
  <c r="CD547" i="2"/>
  <c r="CE547" i="2"/>
  <c r="CF547" i="2"/>
  <c r="CG547" i="2"/>
  <c r="CC548" i="2"/>
  <c r="CD548" i="2"/>
  <c r="CE548" i="2"/>
  <c r="CF548" i="2"/>
  <c r="CG548" i="2"/>
  <c r="H549" i="2"/>
  <c r="I549" i="2"/>
  <c r="J549" i="2"/>
  <c r="K549" i="2"/>
  <c r="L549" i="2"/>
  <c r="M549" i="2"/>
  <c r="N549" i="2"/>
  <c r="O549" i="2"/>
  <c r="P549" i="2"/>
  <c r="Q549" i="2"/>
  <c r="R549" i="2"/>
  <c r="S549" i="2"/>
  <c r="T549" i="2"/>
  <c r="U549" i="2"/>
  <c r="V549" i="2"/>
  <c r="W549" i="2"/>
  <c r="X549" i="2"/>
  <c r="Y549" i="2"/>
  <c r="Y566" i="2" s="1"/>
  <c r="Z549" i="2"/>
  <c r="AA549" i="2"/>
  <c r="AB549" i="2"/>
  <c r="AC549" i="2"/>
  <c r="AD549" i="2"/>
  <c r="AE549" i="2"/>
  <c r="AF549" i="2"/>
  <c r="AG549" i="2"/>
  <c r="AH549" i="2"/>
  <c r="AI549" i="2"/>
  <c r="AJ549" i="2"/>
  <c r="AK549" i="2"/>
  <c r="AL549" i="2"/>
  <c r="AM549" i="2"/>
  <c r="AN549" i="2"/>
  <c r="AO549" i="2"/>
  <c r="AP549" i="2"/>
  <c r="AQ549" i="2"/>
  <c r="AR549" i="2"/>
  <c r="CD549" i="2" s="1"/>
  <c r="AS549" i="2"/>
  <c r="AT549" i="2"/>
  <c r="AU549" i="2"/>
  <c r="AV549" i="2"/>
  <c r="CE549" i="2" s="1"/>
  <c r="AW549" i="2"/>
  <c r="AX549" i="2"/>
  <c r="AY549" i="2"/>
  <c r="AZ549" i="2"/>
  <c r="CF549" i="2" s="1"/>
  <c r="BA549" i="2"/>
  <c r="BB549" i="2"/>
  <c r="BC549" i="2"/>
  <c r="BD549" i="2"/>
  <c r="BE549" i="2"/>
  <c r="BE566" i="2" s="1"/>
  <c r="BF549" i="2"/>
  <c r="BG549" i="2"/>
  <c r="BH549" i="2"/>
  <c r="BI549" i="2"/>
  <c r="BJ549" i="2"/>
  <c r="BS549" i="2"/>
  <c r="BT549" i="2"/>
  <c r="BU549" i="2"/>
  <c r="BV549" i="2"/>
  <c r="BW549" i="2"/>
  <c r="BX549" i="2"/>
  <c r="BY549" i="2"/>
  <c r="BZ549" i="2"/>
  <c r="CA549" i="2"/>
  <c r="CB549" i="2"/>
  <c r="CC549" i="2"/>
  <c r="CE551" i="2"/>
  <c r="CF551" i="2"/>
  <c r="CG551" i="2"/>
  <c r="CC552" i="2"/>
  <c r="CD552" i="2"/>
  <c r="CE552" i="2"/>
  <c r="CF552" i="2"/>
  <c r="CG552" i="2"/>
  <c r="CC553" i="2"/>
  <c r="CD553" i="2"/>
  <c r="CE553" i="2"/>
  <c r="CF553" i="2"/>
  <c r="CG553" i="2"/>
  <c r="CC554" i="2"/>
  <c r="CD554" i="2"/>
  <c r="CE554" i="2"/>
  <c r="CF554" i="2"/>
  <c r="CG554" i="2"/>
  <c r="CC555" i="2"/>
  <c r="CD555" i="2"/>
  <c r="CE555" i="2"/>
  <c r="CF555" i="2"/>
  <c r="CG555" i="2"/>
  <c r="CE556" i="2"/>
  <c r="CF556" i="2"/>
  <c r="CG556" i="2"/>
  <c r="CE557" i="2"/>
  <c r="CF557" i="2"/>
  <c r="CG557" i="2"/>
  <c r="CE558" i="2"/>
  <c r="CF558" i="2"/>
  <c r="CG558" i="2"/>
  <c r="CC560" i="2"/>
  <c r="CD560" i="2"/>
  <c r="CE560" i="2"/>
  <c r="CF560" i="2"/>
  <c r="CG560" i="2"/>
  <c r="CC561" i="2"/>
  <c r="CD561" i="2"/>
  <c r="CE561" i="2"/>
  <c r="CF561" i="2"/>
  <c r="CG561" i="2"/>
  <c r="CC562" i="2"/>
  <c r="CD562" i="2"/>
  <c r="CE562" i="2"/>
  <c r="CF562" i="2"/>
  <c r="CG562" i="2"/>
  <c r="H563" i="2"/>
  <c r="I563" i="2"/>
  <c r="J563" i="2"/>
  <c r="J566" i="2" s="1"/>
  <c r="K563" i="2"/>
  <c r="K566" i="2" s="1"/>
  <c r="L563" i="2"/>
  <c r="L566" i="2" s="1"/>
  <c r="M563" i="2"/>
  <c r="M566" i="2" s="1"/>
  <c r="N563" i="2"/>
  <c r="N566" i="2" s="1"/>
  <c r="O563" i="2"/>
  <c r="P563" i="2"/>
  <c r="P566" i="2" s="1"/>
  <c r="Q563" i="2"/>
  <c r="R563" i="2"/>
  <c r="R566" i="2" s="1"/>
  <c r="S563" i="2"/>
  <c r="S566" i="2" s="1"/>
  <c r="T563" i="2"/>
  <c r="T566" i="2" s="1"/>
  <c r="U563" i="2"/>
  <c r="V563" i="2"/>
  <c r="W563" i="2"/>
  <c r="X563" i="2"/>
  <c r="Y563" i="2"/>
  <c r="Z563" i="2"/>
  <c r="Z566" i="2" s="1"/>
  <c r="AA563" i="2"/>
  <c r="AA566" i="2" s="1"/>
  <c r="AB563" i="2"/>
  <c r="AB566" i="2" s="1"/>
  <c r="AC563" i="2"/>
  <c r="AC566" i="2" s="1"/>
  <c r="AD563" i="2"/>
  <c r="AD566" i="2" s="1"/>
  <c r="AE563" i="2"/>
  <c r="AF563" i="2"/>
  <c r="AF566" i="2" s="1"/>
  <c r="AG563" i="2"/>
  <c r="AH563" i="2"/>
  <c r="AH566" i="2" s="1"/>
  <c r="AI563" i="2"/>
  <c r="AI566" i="2" s="1"/>
  <c r="AJ563" i="2"/>
  <c r="AJ566" i="2" s="1"/>
  <c r="AK563" i="2"/>
  <c r="AL563" i="2"/>
  <c r="AM563" i="2"/>
  <c r="AN563" i="2"/>
  <c r="AO563" i="2"/>
  <c r="AP563" i="2"/>
  <c r="AP566" i="2" s="1"/>
  <c r="AQ563" i="2"/>
  <c r="AQ566" i="2" s="1"/>
  <c r="AR563" i="2"/>
  <c r="AR566" i="2" s="1"/>
  <c r="CD566" i="2" s="1"/>
  <c r="AS563" i="2"/>
  <c r="AS566" i="2" s="1"/>
  <c r="AT563" i="2"/>
  <c r="AT566" i="2" s="1"/>
  <c r="AU563" i="2"/>
  <c r="AV563" i="2"/>
  <c r="CE563" i="2" s="1"/>
  <c r="AW563" i="2"/>
  <c r="AX563" i="2"/>
  <c r="AX566" i="2" s="1"/>
  <c r="AY563" i="2"/>
  <c r="AY566" i="2" s="1"/>
  <c r="AZ563" i="2"/>
  <c r="BA563" i="2"/>
  <c r="BB563" i="2"/>
  <c r="BC563" i="2"/>
  <c r="BD563" i="2"/>
  <c r="BE563" i="2"/>
  <c r="BF563" i="2"/>
  <c r="BF566" i="2" s="1"/>
  <c r="BG563" i="2"/>
  <c r="BG566" i="2" s="1"/>
  <c r="BH563" i="2"/>
  <c r="BH566" i="2" s="1"/>
  <c r="BI563" i="2"/>
  <c r="BI566" i="2" s="1"/>
  <c r="BJ563" i="2"/>
  <c r="BJ566" i="2" s="1"/>
  <c r="BS563" i="2"/>
  <c r="BT563" i="2"/>
  <c r="BT566" i="2" s="1"/>
  <c r="BU563" i="2"/>
  <c r="BV563" i="2"/>
  <c r="BV566" i="2" s="1"/>
  <c r="BW563" i="2"/>
  <c r="BW566" i="2" s="1"/>
  <c r="BX563" i="2"/>
  <c r="BX566" i="2" s="1"/>
  <c r="BY563" i="2"/>
  <c r="BZ563" i="2"/>
  <c r="CA563" i="2"/>
  <c r="CB563" i="2"/>
  <c r="CD563" i="2"/>
  <c r="CC565" i="2"/>
  <c r="CD565" i="2"/>
  <c r="CE565" i="2"/>
  <c r="CF565" i="2"/>
  <c r="CG565" i="2"/>
  <c r="H566" i="2"/>
  <c r="I566" i="2"/>
  <c r="O566" i="2"/>
  <c r="Q566" i="2"/>
  <c r="U566" i="2"/>
  <c r="V566" i="2"/>
  <c r="W566" i="2"/>
  <c r="X566" i="2"/>
  <c r="AE566" i="2"/>
  <c r="AG566" i="2"/>
  <c r="AK566" i="2"/>
  <c r="AL566" i="2"/>
  <c r="AM566" i="2"/>
  <c r="AN566" i="2"/>
  <c r="AO566" i="2"/>
  <c r="AU566" i="2"/>
  <c r="AW566" i="2"/>
  <c r="BA566" i="2"/>
  <c r="BB566" i="2"/>
  <c r="BC566" i="2"/>
  <c r="BD566" i="2"/>
  <c r="BS566" i="2"/>
  <c r="BU566" i="2"/>
  <c r="BY566" i="2"/>
  <c r="BZ566" i="2"/>
  <c r="CA566" i="2"/>
  <c r="CB566" i="2"/>
  <c r="CC566" i="2"/>
  <c r="CC569" i="2"/>
  <c r="CD569" i="2"/>
  <c r="CE569" i="2"/>
  <c r="CF569" i="2"/>
  <c r="CG569" i="2"/>
  <c r="CC572" i="2"/>
  <c r="CD572" i="2"/>
  <c r="CE572" i="2"/>
  <c r="CF572" i="2"/>
  <c r="CG572" i="2"/>
  <c r="CC573" i="2"/>
  <c r="CD573" i="2"/>
  <c r="CE573" i="2"/>
  <c r="CF573" i="2"/>
  <c r="BV577" i="2"/>
  <c r="BW577" i="2"/>
  <c r="BX577" i="2"/>
  <c r="BY577" i="2"/>
  <c r="BY582" i="2" s="1"/>
  <c r="BY591" i="2" s="1"/>
  <c r="BZ577" i="2"/>
  <c r="CA577" i="2"/>
  <c r="CA582" i="2" s="1"/>
  <c r="CA591" i="2" s="1"/>
  <c r="CA608" i="2" s="1"/>
  <c r="CB577" i="2"/>
  <c r="CB582" i="2" s="1"/>
  <c r="CB591" i="2" s="1"/>
  <c r="CB608" i="2" s="1"/>
  <c r="CC577" i="2"/>
  <c r="CD577" i="2"/>
  <c r="CE577" i="2"/>
  <c r="CF577" i="2"/>
  <c r="CG577" i="2"/>
  <c r="BV578" i="2"/>
  <c r="BV582" i="2" s="1"/>
  <c r="BW578" i="2"/>
  <c r="BW582" i="2" s="1"/>
  <c r="BW591" i="2" s="1"/>
  <c r="BW608" i="2" s="1"/>
  <c r="BX578" i="2"/>
  <c r="BY578" i="2"/>
  <c r="BZ578" i="2"/>
  <c r="CA578" i="2"/>
  <c r="CB578" i="2"/>
  <c r="CC578" i="2"/>
  <c r="CC582" i="2" s="1"/>
  <c r="CD578" i="2"/>
  <c r="CE578" i="2"/>
  <c r="CF578" i="2"/>
  <c r="CG578" i="2"/>
  <c r="BV579" i="2"/>
  <c r="BW579" i="2"/>
  <c r="BX579" i="2"/>
  <c r="BY579" i="2"/>
  <c r="BZ579" i="2"/>
  <c r="CA579" i="2"/>
  <c r="CB579" i="2"/>
  <c r="CC579" i="2"/>
  <c r="CD579" i="2"/>
  <c r="CE579" i="2"/>
  <c r="CF579" i="2"/>
  <c r="CG579" i="2"/>
  <c r="BV580" i="2"/>
  <c r="BW580" i="2"/>
  <c r="BX580" i="2"/>
  <c r="BY580" i="2"/>
  <c r="BZ580" i="2"/>
  <c r="CA580" i="2"/>
  <c r="CB580" i="2"/>
  <c r="CC580" i="2"/>
  <c r="CD580" i="2"/>
  <c r="CE580" i="2"/>
  <c r="CF580" i="2"/>
  <c r="CG580" i="2"/>
  <c r="BV581" i="2"/>
  <c r="BW581" i="2"/>
  <c r="BX581" i="2"/>
  <c r="BY581" i="2"/>
  <c r="BZ581" i="2"/>
  <c r="CA581" i="2"/>
  <c r="CB581" i="2"/>
  <c r="CC581" i="2"/>
  <c r="CD581" i="2"/>
  <c r="CE581" i="2"/>
  <c r="CF581" i="2"/>
  <c r="CG581" i="2"/>
  <c r="L582" i="2"/>
  <c r="L591" i="2" s="1"/>
  <c r="L608" i="2" s="1"/>
  <c r="M582" i="2"/>
  <c r="M591" i="2" s="1"/>
  <c r="M608" i="2" s="1"/>
  <c r="N582" i="2"/>
  <c r="O582" i="2"/>
  <c r="P582" i="2"/>
  <c r="Q582" i="2"/>
  <c r="R582" i="2"/>
  <c r="S582" i="2"/>
  <c r="S591" i="2" s="1"/>
  <c r="S608" i="2" s="1"/>
  <c r="T582" i="2"/>
  <c r="U582" i="2"/>
  <c r="U591" i="2" s="1"/>
  <c r="U608" i="2" s="1"/>
  <c r="V582" i="2"/>
  <c r="W582" i="2"/>
  <c r="X582" i="2"/>
  <c r="Y582" i="2"/>
  <c r="Y591" i="2" s="1"/>
  <c r="Y608" i="2" s="1"/>
  <c r="Z582" i="2"/>
  <c r="Z591" i="2" s="1"/>
  <c r="Z608" i="2" s="1"/>
  <c r="AA582" i="2"/>
  <c r="AA591" i="2" s="1"/>
  <c r="AA608" i="2" s="1"/>
  <c r="AB582" i="2"/>
  <c r="AB591" i="2" s="1"/>
  <c r="AB608" i="2" s="1"/>
  <c r="AC582" i="2"/>
  <c r="AC591" i="2" s="1"/>
  <c r="AC608" i="2" s="1"/>
  <c r="AD582" i="2"/>
  <c r="AE582" i="2"/>
  <c r="AF582" i="2"/>
  <c r="AG582" i="2"/>
  <c r="AH582" i="2"/>
  <c r="AI582" i="2"/>
  <c r="AI591" i="2" s="1"/>
  <c r="AI608" i="2" s="1"/>
  <c r="AJ582" i="2"/>
  <c r="AK582" i="2"/>
  <c r="AK591" i="2" s="1"/>
  <c r="AK608" i="2" s="1"/>
  <c r="AL582" i="2"/>
  <c r="AM582" i="2"/>
  <c r="AN582" i="2"/>
  <c r="AO582" i="2"/>
  <c r="AO591" i="2" s="1"/>
  <c r="AO608" i="2" s="1"/>
  <c r="AP582" i="2"/>
  <c r="AP591" i="2" s="1"/>
  <c r="AP608" i="2" s="1"/>
  <c r="AQ582" i="2"/>
  <c r="AQ591" i="2" s="1"/>
  <c r="AQ608" i="2" s="1"/>
  <c r="AR582" i="2"/>
  <c r="AR591" i="2" s="1"/>
  <c r="AR608" i="2" s="1"/>
  <c r="AS582" i="2"/>
  <c r="AS591" i="2" s="1"/>
  <c r="AS608" i="2" s="1"/>
  <c r="AT582" i="2"/>
  <c r="AU582" i="2"/>
  <c r="AV582" i="2"/>
  <c r="AW582" i="2"/>
  <c r="AX582" i="2"/>
  <c r="AY582" i="2"/>
  <c r="AY591" i="2" s="1"/>
  <c r="AZ582" i="2"/>
  <c r="BA582" i="2"/>
  <c r="BA591" i="2" s="1"/>
  <c r="BA608" i="2" s="1"/>
  <c r="BB582" i="2"/>
  <c r="BC582" i="2"/>
  <c r="BD582" i="2"/>
  <c r="BE582" i="2"/>
  <c r="BE591" i="2" s="1"/>
  <c r="BE608" i="2" s="1"/>
  <c r="BF582" i="2"/>
  <c r="BF591" i="2" s="1"/>
  <c r="BF608" i="2" s="1"/>
  <c r="BG582" i="2"/>
  <c r="BG591" i="2" s="1"/>
  <c r="BH582" i="2"/>
  <c r="BH591" i="2" s="1"/>
  <c r="BI582" i="2"/>
  <c r="BI591" i="2" s="1"/>
  <c r="BI608" i="2" s="1"/>
  <c r="BJ582" i="2"/>
  <c r="BT582" i="2"/>
  <c r="BU582" i="2"/>
  <c r="BX582" i="2"/>
  <c r="BX591" i="2" s="1"/>
  <c r="BZ582" i="2"/>
  <c r="CD582" i="2"/>
  <c r="CF582" i="2"/>
  <c r="BV584" i="2"/>
  <c r="BW584" i="2"/>
  <c r="BX584" i="2"/>
  <c r="BY584" i="2"/>
  <c r="BZ584" i="2"/>
  <c r="CA584" i="2"/>
  <c r="CB584" i="2"/>
  <c r="CC584" i="2"/>
  <c r="CD584" i="2"/>
  <c r="CE584" i="2"/>
  <c r="CF584" i="2"/>
  <c r="CG584" i="2"/>
  <c r="BV585" i="2"/>
  <c r="BW585" i="2"/>
  <c r="BX585" i="2"/>
  <c r="BY585" i="2"/>
  <c r="BZ585" i="2"/>
  <c r="CA585" i="2"/>
  <c r="CB585" i="2"/>
  <c r="CC585" i="2"/>
  <c r="CD585" i="2"/>
  <c r="CE585" i="2"/>
  <c r="CF585" i="2"/>
  <c r="CG585" i="2"/>
  <c r="BV586" i="2"/>
  <c r="BW586" i="2"/>
  <c r="BX586" i="2"/>
  <c r="BY586" i="2"/>
  <c r="BZ586" i="2"/>
  <c r="CA586" i="2"/>
  <c r="CB586" i="2"/>
  <c r="CC586" i="2"/>
  <c r="CD586" i="2"/>
  <c r="CE586" i="2"/>
  <c r="CF586" i="2"/>
  <c r="CG586" i="2"/>
  <c r="BV587" i="2"/>
  <c r="BW587" i="2"/>
  <c r="BX587" i="2"/>
  <c r="BY587" i="2"/>
  <c r="BZ587" i="2"/>
  <c r="CA587" i="2"/>
  <c r="CB587" i="2"/>
  <c r="CC587" i="2"/>
  <c r="CD587" i="2"/>
  <c r="CE587" i="2"/>
  <c r="CF587" i="2"/>
  <c r="CG587" i="2"/>
  <c r="BV588" i="2"/>
  <c r="BW588" i="2"/>
  <c r="BX588" i="2"/>
  <c r="BY588" i="2"/>
  <c r="BZ588" i="2"/>
  <c r="CA588" i="2"/>
  <c r="CB588" i="2"/>
  <c r="CC588" i="2"/>
  <c r="CD588" i="2"/>
  <c r="CE588" i="2"/>
  <c r="CF588" i="2"/>
  <c r="CG588" i="2"/>
  <c r="BV589" i="2"/>
  <c r="BW589" i="2"/>
  <c r="BX589" i="2"/>
  <c r="BY589" i="2"/>
  <c r="BZ589" i="2"/>
  <c r="CA589" i="2"/>
  <c r="CB589" i="2"/>
  <c r="CC589" i="2"/>
  <c r="CD589" i="2"/>
  <c r="CE589" i="2"/>
  <c r="CF589" i="2"/>
  <c r="CG589" i="2"/>
  <c r="BV590" i="2"/>
  <c r="BW590" i="2"/>
  <c r="BX590" i="2"/>
  <c r="BY590" i="2"/>
  <c r="BZ590" i="2"/>
  <c r="CA590" i="2"/>
  <c r="CB590" i="2"/>
  <c r="CC590" i="2"/>
  <c r="CD590" i="2"/>
  <c r="CE590" i="2"/>
  <c r="CF590" i="2"/>
  <c r="CG590" i="2"/>
  <c r="N591" i="2"/>
  <c r="O591" i="2"/>
  <c r="P591" i="2"/>
  <c r="P608" i="2" s="1"/>
  <c r="Q591" i="2"/>
  <c r="Q608" i="2" s="1"/>
  <c r="R591" i="2"/>
  <c r="T591" i="2"/>
  <c r="V591" i="2"/>
  <c r="W591" i="2"/>
  <c r="W608" i="2" s="1"/>
  <c r="X591" i="2"/>
  <c r="X608" i="2" s="1"/>
  <c r="AD591" i="2"/>
  <c r="AE591" i="2"/>
  <c r="AF591" i="2"/>
  <c r="AF608" i="2" s="1"/>
  <c r="AG591" i="2"/>
  <c r="AG608" i="2" s="1"/>
  <c r="AH591" i="2"/>
  <c r="AJ591" i="2"/>
  <c r="AL591" i="2"/>
  <c r="AM591" i="2"/>
  <c r="AM608" i="2" s="1"/>
  <c r="AN591" i="2"/>
  <c r="AN608" i="2" s="1"/>
  <c r="AT591" i="2"/>
  <c r="AU591" i="2"/>
  <c r="CD591" i="2" s="1"/>
  <c r="AV591" i="2"/>
  <c r="AV608" i="2" s="1"/>
  <c r="AW591" i="2"/>
  <c r="AW608" i="2" s="1"/>
  <c r="AX591" i="2"/>
  <c r="AZ591" i="2"/>
  <c r="BB591" i="2"/>
  <c r="BC591" i="2"/>
  <c r="CF591" i="2" s="1"/>
  <c r="BD591" i="2"/>
  <c r="BD608" i="2" s="1"/>
  <c r="BJ591" i="2"/>
  <c r="BT591" i="2"/>
  <c r="BU591" i="2"/>
  <c r="BU608" i="2" s="1"/>
  <c r="CC591" i="2"/>
  <c r="BV593" i="2"/>
  <c r="BW593" i="2"/>
  <c r="BW599" i="2" s="1"/>
  <c r="BW606" i="2" s="1"/>
  <c r="BX593" i="2"/>
  <c r="BX599" i="2" s="1"/>
  <c r="BY593" i="2"/>
  <c r="BZ593" i="2"/>
  <c r="CA593" i="2"/>
  <c r="CB593" i="2"/>
  <c r="CC593" i="2"/>
  <c r="CD593" i="2"/>
  <c r="CE593" i="2"/>
  <c r="CF593" i="2"/>
  <c r="CG593" i="2"/>
  <c r="BV594" i="2"/>
  <c r="BW594" i="2"/>
  <c r="BX594" i="2"/>
  <c r="BY594" i="2"/>
  <c r="BZ594" i="2"/>
  <c r="CA594" i="2"/>
  <c r="CA599" i="2" s="1"/>
  <c r="CA606" i="2" s="1"/>
  <c r="CB594" i="2"/>
  <c r="CC594" i="2"/>
  <c r="CD594" i="2"/>
  <c r="CE594" i="2"/>
  <c r="CF594" i="2"/>
  <c r="CG594" i="2"/>
  <c r="BV595" i="2"/>
  <c r="BV599" i="2" s="1"/>
  <c r="BV606" i="2" s="1"/>
  <c r="BW595" i="2"/>
  <c r="BX595" i="2"/>
  <c r="BY595" i="2"/>
  <c r="BZ595" i="2"/>
  <c r="CA595" i="2"/>
  <c r="CB595" i="2"/>
  <c r="CC595" i="2"/>
  <c r="CD595" i="2"/>
  <c r="CE595" i="2"/>
  <c r="CF595" i="2"/>
  <c r="CG595" i="2"/>
  <c r="BV596" i="2"/>
  <c r="BW596" i="2"/>
  <c r="BX596" i="2"/>
  <c r="BY596" i="2"/>
  <c r="BZ596" i="2"/>
  <c r="CA596" i="2"/>
  <c r="CB596" i="2"/>
  <c r="CC596" i="2"/>
  <c r="CD596" i="2"/>
  <c r="CE596" i="2"/>
  <c r="CF596" i="2"/>
  <c r="CG596" i="2"/>
  <c r="BV597" i="2"/>
  <c r="BW597" i="2"/>
  <c r="BX597" i="2"/>
  <c r="BY597" i="2"/>
  <c r="BZ597" i="2"/>
  <c r="CA597" i="2"/>
  <c r="CB597" i="2"/>
  <c r="CC597" i="2"/>
  <c r="CD597" i="2"/>
  <c r="CE597" i="2"/>
  <c r="CF597" i="2"/>
  <c r="CG597" i="2"/>
  <c r="BV598" i="2"/>
  <c r="BW598" i="2"/>
  <c r="BX598" i="2"/>
  <c r="BY598" i="2"/>
  <c r="BZ598" i="2"/>
  <c r="CA598" i="2"/>
  <c r="CB598" i="2"/>
  <c r="CC598" i="2"/>
  <c r="CD598" i="2"/>
  <c r="CE598" i="2"/>
  <c r="CF598" i="2"/>
  <c r="CG598" i="2"/>
  <c r="L599" i="2"/>
  <c r="M599" i="2"/>
  <c r="N599" i="2"/>
  <c r="O599" i="2"/>
  <c r="O606" i="2" s="1"/>
  <c r="O608" i="2" s="1"/>
  <c r="P599" i="2"/>
  <c r="Q599" i="2"/>
  <c r="R599" i="2"/>
  <c r="S599" i="2"/>
  <c r="T599" i="2"/>
  <c r="U599" i="2"/>
  <c r="V599" i="2"/>
  <c r="W599" i="2"/>
  <c r="X599" i="2"/>
  <c r="Y599" i="2"/>
  <c r="Z599" i="2"/>
  <c r="AA599" i="2"/>
  <c r="AB599" i="2"/>
  <c r="AC599" i="2"/>
  <c r="AD599" i="2"/>
  <c r="AE599" i="2"/>
  <c r="AE606" i="2" s="1"/>
  <c r="AE608" i="2" s="1"/>
  <c r="AF599" i="2"/>
  <c r="AG599" i="2"/>
  <c r="AH599" i="2"/>
  <c r="AI599" i="2"/>
  <c r="AJ599" i="2"/>
  <c r="AK599" i="2"/>
  <c r="AL599" i="2"/>
  <c r="AM599" i="2"/>
  <c r="AN599" i="2"/>
  <c r="AO599" i="2"/>
  <c r="AP599" i="2"/>
  <c r="AQ599" i="2"/>
  <c r="AR599" i="2"/>
  <c r="AS599" i="2"/>
  <c r="AT599" i="2"/>
  <c r="AU599" i="2"/>
  <c r="CD599" i="2" s="1"/>
  <c r="AV599" i="2"/>
  <c r="AW599" i="2"/>
  <c r="AX599" i="2"/>
  <c r="AY599" i="2"/>
  <c r="AZ599" i="2"/>
  <c r="BA599" i="2"/>
  <c r="BB599" i="2"/>
  <c r="BC599" i="2"/>
  <c r="CF599" i="2" s="1"/>
  <c r="BD599" i="2"/>
  <c r="BE599" i="2"/>
  <c r="BF599" i="2"/>
  <c r="BG599" i="2"/>
  <c r="BH599" i="2"/>
  <c r="BI599" i="2"/>
  <c r="BJ599" i="2"/>
  <c r="BT599" i="2"/>
  <c r="BT606" i="2" s="1"/>
  <c r="BT608" i="2" s="1"/>
  <c r="BU599" i="2"/>
  <c r="BZ599" i="2"/>
  <c r="CB599" i="2"/>
  <c r="CE599" i="2"/>
  <c r="CG599" i="2"/>
  <c r="BV601" i="2"/>
  <c r="BW601" i="2"/>
  <c r="BX601" i="2"/>
  <c r="BY601" i="2"/>
  <c r="BZ601" i="2"/>
  <c r="CA601" i="2"/>
  <c r="CB601" i="2"/>
  <c r="CC601" i="2"/>
  <c r="CD601" i="2"/>
  <c r="CE601" i="2"/>
  <c r="CF601" i="2"/>
  <c r="CG601" i="2"/>
  <c r="BV602" i="2"/>
  <c r="BW602" i="2"/>
  <c r="BX602" i="2"/>
  <c r="BY602" i="2"/>
  <c r="BZ602" i="2"/>
  <c r="CA602" i="2"/>
  <c r="CB602" i="2"/>
  <c r="CB606" i="2" s="1"/>
  <c r="CC602" i="2"/>
  <c r="CD602" i="2"/>
  <c r="CE602" i="2"/>
  <c r="CF602" i="2"/>
  <c r="CG602" i="2"/>
  <c r="BV603" i="2"/>
  <c r="BW603" i="2"/>
  <c r="BX603" i="2"/>
  <c r="BY603" i="2"/>
  <c r="BZ603" i="2"/>
  <c r="CA603" i="2"/>
  <c r="CB603" i="2"/>
  <c r="CC603" i="2"/>
  <c r="CD603" i="2"/>
  <c r="CE603" i="2"/>
  <c r="CF603" i="2"/>
  <c r="CG603" i="2"/>
  <c r="BV604" i="2"/>
  <c r="BW604" i="2"/>
  <c r="BX604" i="2"/>
  <c r="BY604" i="2"/>
  <c r="BZ604" i="2"/>
  <c r="CA604" i="2"/>
  <c r="CB604" i="2"/>
  <c r="CC604" i="2"/>
  <c r="CD604" i="2"/>
  <c r="CE604" i="2"/>
  <c r="CF604" i="2"/>
  <c r="CG604" i="2"/>
  <c r="BH605" i="2"/>
  <c r="BH606" i="2" s="1"/>
  <c r="BI605" i="2"/>
  <c r="BJ605" i="2"/>
  <c r="BJ606" i="2" s="1"/>
  <c r="BJ608" i="2" s="1"/>
  <c r="BV605" i="2"/>
  <c r="BW605" i="2"/>
  <c r="BX605" i="2"/>
  <c r="BY605" i="2"/>
  <c r="BZ605" i="2"/>
  <c r="CA605" i="2"/>
  <c r="CB605" i="2"/>
  <c r="CC605" i="2"/>
  <c r="CD605" i="2"/>
  <c r="CE605" i="2"/>
  <c r="CF605" i="2"/>
  <c r="CG605" i="2"/>
  <c r="L606" i="2"/>
  <c r="M606" i="2"/>
  <c r="N606" i="2"/>
  <c r="P606" i="2"/>
  <c r="Q606" i="2"/>
  <c r="R606" i="2"/>
  <c r="S606" i="2"/>
  <c r="T606" i="2"/>
  <c r="U606" i="2"/>
  <c r="V606" i="2"/>
  <c r="W606" i="2"/>
  <c r="X606" i="2"/>
  <c r="Y606" i="2"/>
  <c r="Z606" i="2"/>
  <c r="AA606" i="2"/>
  <c r="AB606" i="2"/>
  <c r="AC606" i="2"/>
  <c r="AD606" i="2"/>
  <c r="AF606" i="2"/>
  <c r="AG606" i="2"/>
  <c r="AH606" i="2"/>
  <c r="AI606" i="2"/>
  <c r="AJ606" i="2"/>
  <c r="AK606" i="2"/>
  <c r="AL606" i="2"/>
  <c r="AM606" i="2"/>
  <c r="AN606" i="2"/>
  <c r="AO606" i="2"/>
  <c r="AP606" i="2"/>
  <c r="AQ606" i="2"/>
  <c r="AR606" i="2"/>
  <c r="AS606" i="2"/>
  <c r="AT606" i="2"/>
  <c r="AV606" i="2"/>
  <c r="AW606" i="2"/>
  <c r="AX606" i="2"/>
  <c r="AY606" i="2"/>
  <c r="AZ606" i="2"/>
  <c r="BA606" i="2"/>
  <c r="BB606" i="2"/>
  <c r="BC606" i="2"/>
  <c r="CF606" i="2" s="1"/>
  <c r="BD606" i="2"/>
  <c r="BE606" i="2"/>
  <c r="BF606" i="2"/>
  <c r="BG606" i="2"/>
  <c r="BI606" i="2"/>
  <c r="BU606" i="2"/>
  <c r="BZ606" i="2"/>
  <c r="CE606" i="2"/>
  <c r="CG606" i="2"/>
  <c r="N608" i="2"/>
  <c r="R608" i="2"/>
  <c r="T608" i="2"/>
  <c r="V608" i="2"/>
  <c r="AD608" i="2"/>
  <c r="AH608" i="2"/>
  <c r="AJ608" i="2"/>
  <c r="AL608" i="2"/>
  <c r="AT608" i="2"/>
  <c r="AX608" i="2"/>
  <c r="AZ608" i="2"/>
  <c r="BB608" i="2"/>
  <c r="E612" i="2"/>
  <c r="F612" i="2"/>
  <c r="G612" i="2"/>
  <c r="H612" i="2"/>
  <c r="I612" i="2"/>
  <c r="J612" i="2"/>
  <c r="K612" i="2"/>
  <c r="L612" i="2"/>
  <c r="M612" i="2"/>
  <c r="N612" i="2"/>
  <c r="O612" i="2"/>
  <c r="P612" i="2"/>
  <c r="Q612" i="2"/>
  <c r="R612" i="2"/>
  <c r="S612" i="2"/>
  <c r="T612" i="2"/>
  <c r="U612" i="2"/>
  <c r="V612" i="2"/>
  <c r="W612" i="2"/>
  <c r="X612" i="2"/>
  <c r="Y612" i="2"/>
  <c r="Z612" i="2"/>
  <c r="AA612" i="2"/>
  <c r="AB612" i="2"/>
  <c r="AC612" i="2"/>
  <c r="AD612" i="2"/>
  <c r="AE612" i="2"/>
  <c r="AF612" i="2"/>
  <c r="AG612" i="2"/>
  <c r="AH612" i="2"/>
  <c r="AI612" i="2"/>
  <c r="AJ612" i="2"/>
  <c r="AK612" i="2"/>
  <c r="AL612" i="2"/>
  <c r="AM612" i="2"/>
  <c r="AN612" i="2"/>
  <c r="AO612" i="2"/>
  <c r="AP612" i="2"/>
  <c r="AQ612" i="2"/>
  <c r="AR612" i="2"/>
  <c r="AS612" i="2"/>
  <c r="AT612" i="2"/>
  <c r="AU612" i="2"/>
  <c r="AV612" i="2"/>
  <c r="AW612" i="2"/>
  <c r="AX612" i="2"/>
  <c r="AY612" i="2"/>
  <c r="AZ612" i="2"/>
  <c r="BA612" i="2"/>
  <c r="BB612" i="2"/>
  <c r="BC612" i="2"/>
  <c r="BD612" i="2"/>
  <c r="BE612" i="2"/>
  <c r="BF612" i="2"/>
  <c r="BG612" i="2"/>
  <c r="BH612" i="2"/>
  <c r="BI612" i="2"/>
  <c r="BJ612" i="2"/>
  <c r="BK612" i="2"/>
  <c r="BL612" i="2"/>
  <c r="BM612" i="2"/>
  <c r="BN612" i="2"/>
  <c r="BO612" i="2"/>
  <c r="BV612" i="2"/>
  <c r="BW612" i="2"/>
  <c r="BX612" i="2"/>
  <c r="BY612" i="2"/>
  <c r="BZ612" i="2"/>
  <c r="CA612" i="2"/>
  <c r="CB612" i="2"/>
  <c r="CC612" i="2"/>
  <c r="CD612" i="2"/>
  <c r="CE612" i="2"/>
  <c r="CF612" i="2"/>
  <c r="CG612" i="2"/>
  <c r="CH612" i="2"/>
  <c r="CI616" i="2"/>
  <c r="CI617" i="2"/>
  <c r="CI618" i="2"/>
  <c r="CI619" i="2"/>
  <c r="CI620" i="2"/>
  <c r="CI621" i="2"/>
  <c r="BM632" i="2"/>
  <c r="BN632" i="2"/>
  <c r="BO632" i="2"/>
  <c r="BM633" i="2"/>
  <c r="BN633" i="2"/>
  <c r="BO633" i="2"/>
  <c r="BM634" i="2"/>
  <c r="BN634" i="2"/>
  <c r="BO634" i="2"/>
  <c r="BM635" i="2"/>
  <c r="BN635" i="2"/>
  <c r="BO635" i="2"/>
  <c r="BM636" i="2"/>
  <c r="BN636" i="2"/>
  <c r="BO636" i="2"/>
  <c r="BM637" i="2"/>
  <c r="BN637" i="2"/>
  <c r="BO637" i="2"/>
  <c r="D640" i="2"/>
  <c r="D641" i="2" s="1"/>
  <c r="E640" i="2"/>
  <c r="E641" i="2" s="1"/>
  <c r="F640" i="2"/>
  <c r="G640" i="2"/>
  <c r="G641" i="2" s="1"/>
  <c r="H640" i="2"/>
  <c r="I640" i="2"/>
  <c r="J640" i="2"/>
  <c r="K640" i="2"/>
  <c r="K641" i="2" s="1"/>
  <c r="L640" i="2"/>
  <c r="M640" i="2"/>
  <c r="M641" i="2" s="1"/>
  <c r="BV641" i="2" s="1"/>
  <c r="N640" i="2"/>
  <c r="O640" i="2"/>
  <c r="O641" i="2" s="1"/>
  <c r="P640" i="2"/>
  <c r="Q640" i="2"/>
  <c r="R640" i="2"/>
  <c r="S640" i="2"/>
  <c r="S641" i="2" s="1"/>
  <c r="BW641" i="2" s="1"/>
  <c r="T640" i="2"/>
  <c r="T641" i="2" s="1"/>
  <c r="U640" i="2"/>
  <c r="U641" i="2" s="1"/>
  <c r="V640" i="2"/>
  <c r="W640" i="2"/>
  <c r="W641" i="2" s="1"/>
  <c r="X640" i="2"/>
  <c r="Y640" i="2"/>
  <c r="Z640" i="2"/>
  <c r="AA640" i="2"/>
  <c r="AA641" i="2" s="1"/>
  <c r="BY641" i="2" s="1"/>
  <c r="AB640" i="2"/>
  <c r="BZ640" i="2" s="1"/>
  <c r="AC640" i="2"/>
  <c r="AC641" i="2" s="1"/>
  <c r="AD640" i="2"/>
  <c r="AE640" i="2"/>
  <c r="AE641" i="2" s="1"/>
  <c r="AF640" i="2"/>
  <c r="CA640" i="2" s="1"/>
  <c r="AG640" i="2"/>
  <c r="AH640" i="2"/>
  <c r="AI640" i="2"/>
  <c r="AI641" i="2" s="1"/>
  <c r="AJ640" i="2"/>
  <c r="AK640" i="2"/>
  <c r="AK641" i="2" s="1"/>
  <c r="AL640" i="2"/>
  <c r="AM640" i="2"/>
  <c r="AM641" i="2" s="1"/>
  <c r="AN640" i="2"/>
  <c r="AO640" i="2"/>
  <c r="AP640" i="2"/>
  <c r="AQ640" i="2"/>
  <c r="AQ641" i="2" s="1"/>
  <c r="AR640" i="2"/>
  <c r="AS640" i="2"/>
  <c r="AS641" i="2" s="1"/>
  <c r="CD641" i="2" s="1"/>
  <c r="AT640" i="2"/>
  <c r="AU640" i="2"/>
  <c r="AU641" i="2" s="1"/>
  <c r="AV640" i="2"/>
  <c r="AW640" i="2"/>
  <c r="AX640" i="2"/>
  <c r="AY640" i="2"/>
  <c r="AY641" i="2" s="1"/>
  <c r="CE641" i="2" s="1"/>
  <c r="AZ640" i="2"/>
  <c r="AZ641" i="2" s="1"/>
  <c r="BA640" i="2"/>
  <c r="BB640" i="2"/>
  <c r="BC640" i="2"/>
  <c r="BC641" i="2" s="1"/>
  <c r="BD640" i="2"/>
  <c r="BE640" i="2"/>
  <c r="BF640" i="2"/>
  <c r="BG640" i="2"/>
  <c r="BG641" i="2" s="1"/>
  <c r="BH640" i="2"/>
  <c r="BI640" i="2"/>
  <c r="BI641" i="2" s="1"/>
  <c r="BJ640" i="2"/>
  <c r="BK640" i="2"/>
  <c r="BL640" i="2" s="1"/>
  <c r="BU640" i="2"/>
  <c r="BV640" i="2"/>
  <c r="BW640" i="2"/>
  <c r="BY640" i="2"/>
  <c r="CC640" i="2"/>
  <c r="CD640" i="2"/>
  <c r="CE640" i="2"/>
  <c r="CG640" i="2"/>
  <c r="F641" i="2"/>
  <c r="H641" i="2"/>
  <c r="I641" i="2"/>
  <c r="J641" i="2"/>
  <c r="L641" i="2"/>
  <c r="N641" i="2"/>
  <c r="P641" i="2"/>
  <c r="Q641" i="2"/>
  <c r="R641" i="2"/>
  <c r="V641" i="2"/>
  <c r="X641" i="2"/>
  <c r="Y641" i="2"/>
  <c r="Z641" i="2"/>
  <c r="AB641" i="2"/>
  <c r="BZ641" i="2" s="1"/>
  <c r="AD641" i="2"/>
  <c r="AF641" i="2"/>
  <c r="CA641" i="2" s="1"/>
  <c r="AG641" i="2"/>
  <c r="AH641" i="2"/>
  <c r="AL641" i="2"/>
  <c r="AN641" i="2"/>
  <c r="AO641" i="2"/>
  <c r="AP641" i="2"/>
  <c r="AR641" i="2"/>
  <c r="AT641" i="2"/>
  <c r="AV641" i="2"/>
  <c r="AW641" i="2"/>
  <c r="AX641" i="2"/>
  <c r="BB641" i="2"/>
  <c r="BD641" i="2"/>
  <c r="BE641" i="2"/>
  <c r="BF641" i="2"/>
  <c r="BH641" i="2"/>
  <c r="BJ641" i="2"/>
  <c r="BK641" i="2" s="1"/>
  <c r="BL641" i="2" s="1"/>
  <c r="D642" i="2"/>
  <c r="E642" i="2"/>
  <c r="F642" i="2"/>
  <c r="G642" i="2"/>
  <c r="H642" i="2"/>
  <c r="I642" i="2"/>
  <c r="J642" i="2"/>
  <c r="K642" i="2"/>
  <c r="L642" i="2"/>
  <c r="M642" i="2"/>
  <c r="N642" i="2"/>
  <c r="O642" i="2"/>
  <c r="BV642" i="2" s="1"/>
  <c r="P642" i="2"/>
  <c r="Q642" i="2"/>
  <c r="BW642" i="2" s="1"/>
  <c r="R642" i="2"/>
  <c r="S642" i="2"/>
  <c r="T642" i="2"/>
  <c r="U642" i="2"/>
  <c r="V642" i="2"/>
  <c r="W642" i="2"/>
  <c r="X642" i="2"/>
  <c r="Y642" i="2"/>
  <c r="BY642" i="2" s="1"/>
  <c r="Z642" i="2"/>
  <c r="AA642" i="2"/>
  <c r="AB642" i="2"/>
  <c r="AC642" i="2"/>
  <c r="AD642" i="2"/>
  <c r="AE642" i="2"/>
  <c r="AF642" i="2"/>
  <c r="CA642" i="2" s="1"/>
  <c r="AG642" i="2"/>
  <c r="AH642" i="2"/>
  <c r="AI642" i="2"/>
  <c r="AJ642" i="2"/>
  <c r="AK642" i="2"/>
  <c r="CB642" i="2" s="1"/>
  <c r="AL642" i="2"/>
  <c r="AM642" i="2"/>
  <c r="AN642" i="2"/>
  <c r="AO642" i="2"/>
  <c r="AP642" i="2"/>
  <c r="AQ642" i="2"/>
  <c r="AR642" i="2"/>
  <c r="AS642" i="2"/>
  <c r="AT642" i="2"/>
  <c r="CD642" i="2" s="1"/>
  <c r="AU642" i="2"/>
  <c r="AV642" i="2"/>
  <c r="AW642" i="2"/>
  <c r="CE642" i="2" s="1"/>
  <c r="AX642" i="2"/>
  <c r="AY642" i="2"/>
  <c r="AZ642" i="2"/>
  <c r="BA642" i="2"/>
  <c r="BB642" i="2"/>
  <c r="BC642" i="2"/>
  <c r="CF642" i="2" s="1"/>
  <c r="BD642" i="2"/>
  <c r="BE642" i="2"/>
  <c r="BF642" i="2"/>
  <c r="BG642" i="2"/>
  <c r="BH642" i="2"/>
  <c r="BI642" i="2"/>
  <c r="BJ642" i="2"/>
  <c r="BK642" i="2"/>
  <c r="BL642" i="2" s="1"/>
  <c r="BX642" i="2"/>
  <c r="BZ642" i="2"/>
  <c r="CH642" i="2"/>
  <c r="D643" i="2"/>
  <c r="E643" i="2"/>
  <c r="F643" i="2"/>
  <c r="G643" i="2"/>
  <c r="H643" i="2"/>
  <c r="I643" i="2"/>
  <c r="J643" i="2"/>
  <c r="K643" i="2"/>
  <c r="L643" i="2"/>
  <c r="M643" i="2"/>
  <c r="N643" i="2"/>
  <c r="BV643" i="2" s="1"/>
  <c r="O643" i="2"/>
  <c r="P643" i="2"/>
  <c r="BW643" i="2" s="1"/>
  <c r="Q643" i="2"/>
  <c r="R643" i="2"/>
  <c r="S643" i="2"/>
  <c r="T643" i="2"/>
  <c r="U643" i="2"/>
  <c r="V643" i="2"/>
  <c r="W643" i="2"/>
  <c r="X643" i="2"/>
  <c r="Y643" i="2"/>
  <c r="Z643" i="2"/>
  <c r="BY643" i="2" s="1"/>
  <c r="AA643" i="2"/>
  <c r="AB643" i="2"/>
  <c r="AC643" i="2"/>
  <c r="AD643" i="2"/>
  <c r="AE643" i="2"/>
  <c r="AF643" i="2"/>
  <c r="AG643" i="2"/>
  <c r="AH643" i="2"/>
  <c r="AI643" i="2"/>
  <c r="AJ643" i="2"/>
  <c r="AK643" i="2"/>
  <c r="AL643" i="2"/>
  <c r="CB643" i="2" s="1"/>
  <c r="AM643" i="2"/>
  <c r="AN643" i="2"/>
  <c r="AO643" i="2"/>
  <c r="AP643" i="2"/>
  <c r="AQ643" i="2"/>
  <c r="AR643" i="2"/>
  <c r="AS643" i="2"/>
  <c r="AT643" i="2"/>
  <c r="CD643" i="2" s="1"/>
  <c r="AU643" i="2"/>
  <c r="AV643" i="2"/>
  <c r="CE643" i="2" s="1"/>
  <c r="AW643" i="2"/>
  <c r="AX643" i="2"/>
  <c r="AY643" i="2"/>
  <c r="AZ643" i="2"/>
  <c r="BA643" i="2"/>
  <c r="BB643" i="2"/>
  <c r="BC643" i="2"/>
  <c r="CF643" i="2" s="1"/>
  <c r="BD643" i="2"/>
  <c r="BE643" i="2"/>
  <c r="BF643" i="2"/>
  <c r="BG643" i="2"/>
  <c r="BH643" i="2"/>
  <c r="BI643" i="2"/>
  <c r="BJ643" i="2"/>
  <c r="BK643" i="2"/>
  <c r="BL643" i="2"/>
  <c r="BM643" i="2" s="1"/>
  <c r="BX643" i="2"/>
  <c r="BZ643" i="2"/>
  <c r="CA643" i="2"/>
  <c r="CH643" i="2"/>
  <c r="D644" i="2"/>
  <c r="E644" i="2"/>
  <c r="F644" i="2"/>
  <c r="G644" i="2"/>
  <c r="H644" i="2"/>
  <c r="BU644" i="2" s="1"/>
  <c r="I644" i="2"/>
  <c r="J644" i="2"/>
  <c r="K644" i="2"/>
  <c r="L644" i="2"/>
  <c r="M644" i="2"/>
  <c r="N644" i="2"/>
  <c r="O644" i="2"/>
  <c r="P644" i="2"/>
  <c r="BW644" i="2" s="1"/>
  <c r="Q644" i="2"/>
  <c r="R644" i="2"/>
  <c r="S644" i="2"/>
  <c r="T644" i="2"/>
  <c r="BX644" i="2" s="1"/>
  <c r="U644" i="2"/>
  <c r="V644" i="2"/>
  <c r="W644" i="2"/>
  <c r="X644" i="2"/>
  <c r="Y644" i="2"/>
  <c r="BY644" i="2" s="1"/>
  <c r="Z644" i="2"/>
  <c r="AA644" i="2"/>
  <c r="AB644" i="2"/>
  <c r="AC644" i="2"/>
  <c r="AD644" i="2"/>
  <c r="AE644" i="2"/>
  <c r="AF644" i="2"/>
  <c r="AG644" i="2"/>
  <c r="CA644" i="2" s="1"/>
  <c r="AH644" i="2"/>
  <c r="AI644" i="2"/>
  <c r="AJ644" i="2"/>
  <c r="AK644" i="2"/>
  <c r="AL644" i="2"/>
  <c r="AM644" i="2"/>
  <c r="AN644" i="2"/>
  <c r="CC644" i="2" s="1"/>
  <c r="AO644" i="2"/>
  <c r="AP644" i="2"/>
  <c r="AQ644" i="2"/>
  <c r="AR644" i="2"/>
  <c r="AS644" i="2"/>
  <c r="AT644" i="2"/>
  <c r="AU644" i="2"/>
  <c r="CD644" i="2" s="1"/>
  <c r="AV644" i="2"/>
  <c r="CE644" i="2" s="1"/>
  <c r="AW644" i="2"/>
  <c r="AX644" i="2"/>
  <c r="AY644" i="2"/>
  <c r="AZ644" i="2"/>
  <c r="CF644" i="2" s="1"/>
  <c r="BA644" i="2"/>
  <c r="BB644" i="2"/>
  <c r="BC644" i="2"/>
  <c r="BD644" i="2"/>
  <c r="CG644" i="2" s="1"/>
  <c r="BE644" i="2"/>
  <c r="BF644" i="2"/>
  <c r="BG644" i="2"/>
  <c r="BH644" i="2"/>
  <c r="BI644" i="2"/>
  <c r="BJ644" i="2"/>
  <c r="BK644" i="2"/>
  <c r="BL644" i="2"/>
  <c r="BM644" i="2"/>
  <c r="BN644" i="2" s="1"/>
  <c r="BO644" i="2" s="1"/>
  <c r="BV644" i="2"/>
  <c r="BZ644" i="2"/>
  <c r="CB644" i="2"/>
  <c r="CH644" i="2"/>
  <c r="D645" i="2"/>
  <c r="E645" i="2"/>
  <c r="F645" i="2"/>
  <c r="G645" i="2"/>
  <c r="H645" i="2"/>
  <c r="I645" i="2"/>
  <c r="J645" i="2"/>
  <c r="BU645" i="2" s="1"/>
  <c r="K645" i="2"/>
  <c r="L645" i="2"/>
  <c r="BV645" i="2" s="1"/>
  <c r="M645" i="2"/>
  <c r="N645" i="2"/>
  <c r="O645" i="2"/>
  <c r="P645" i="2"/>
  <c r="Q645" i="2"/>
  <c r="BW645" i="2" s="1"/>
  <c r="R645" i="2"/>
  <c r="S645" i="2"/>
  <c r="T645" i="2"/>
  <c r="BX645" i="2" s="1"/>
  <c r="U645" i="2"/>
  <c r="V645" i="2"/>
  <c r="W645" i="2"/>
  <c r="X645" i="2"/>
  <c r="Y645" i="2"/>
  <c r="BY645" i="2" s="1"/>
  <c r="Z645" i="2"/>
  <c r="AA645" i="2"/>
  <c r="AB645" i="2"/>
  <c r="BZ645" i="2" s="1"/>
  <c r="AC645" i="2"/>
  <c r="AD645" i="2"/>
  <c r="AE645" i="2"/>
  <c r="AF645" i="2"/>
  <c r="AG645" i="2"/>
  <c r="AH645" i="2"/>
  <c r="AI645" i="2"/>
  <c r="AJ645" i="2"/>
  <c r="CB645" i="2" s="1"/>
  <c r="AK645" i="2"/>
  <c r="AL645" i="2"/>
  <c r="AM645" i="2"/>
  <c r="AN645" i="2"/>
  <c r="AO645" i="2"/>
  <c r="AP645" i="2"/>
  <c r="AQ645" i="2"/>
  <c r="AR645" i="2"/>
  <c r="CD645" i="2" s="1"/>
  <c r="AS645" i="2"/>
  <c r="AT645" i="2"/>
  <c r="AU645" i="2"/>
  <c r="AV645" i="2"/>
  <c r="AW645" i="2"/>
  <c r="CE645" i="2" s="1"/>
  <c r="AX645" i="2"/>
  <c r="AY645" i="2"/>
  <c r="AZ645" i="2"/>
  <c r="CF645" i="2" s="1"/>
  <c r="BA645" i="2"/>
  <c r="BB645" i="2"/>
  <c r="BC645" i="2"/>
  <c r="BD645" i="2"/>
  <c r="BE645" i="2"/>
  <c r="CG645" i="2" s="1"/>
  <c r="BF645" i="2"/>
  <c r="BG645" i="2"/>
  <c r="BH645" i="2"/>
  <c r="CH645" i="2" s="1"/>
  <c r="BI645" i="2"/>
  <c r="BJ645" i="2"/>
  <c r="BK645" i="2" s="1"/>
  <c r="BL645" i="2" s="1"/>
  <c r="CA645" i="2"/>
  <c r="CC645" i="2"/>
  <c r="L650" i="2"/>
  <c r="M650" i="2"/>
  <c r="N650" i="2"/>
  <c r="O650" i="2"/>
  <c r="P650" i="2"/>
  <c r="Q650" i="2"/>
  <c r="R650" i="2"/>
  <c r="S650" i="2"/>
  <c r="T650" i="2"/>
  <c r="U650" i="2"/>
  <c r="V650" i="2"/>
  <c r="X650" i="2"/>
  <c r="Y650" i="2"/>
  <c r="Z650" i="2"/>
  <c r="AB650" i="2"/>
  <c r="AC650" i="2"/>
  <c r="AE650" i="2"/>
  <c r="AF650" i="2"/>
  <c r="AJ650" i="2"/>
  <c r="AK650" i="2"/>
  <c r="AL650" i="2"/>
  <c r="AN650" i="2"/>
  <c r="AO650" i="2"/>
  <c r="AP650" i="2"/>
  <c r="AQ650" i="2"/>
  <c r="AR650" i="2"/>
  <c r="AS650" i="2"/>
  <c r="AU650" i="2"/>
  <c r="AV650" i="2"/>
  <c r="AX650" i="2"/>
  <c r="AY650" i="2"/>
  <c r="AZ650" i="2"/>
  <c r="BA650" i="2"/>
  <c r="BC650" i="2"/>
  <c r="BD650" i="2"/>
  <c r="BH650" i="2"/>
  <c r="BI650" i="2"/>
  <c r="BJ650" i="2"/>
  <c r="BW650" i="2"/>
  <c r="CD650" i="2"/>
  <c r="Z2" i="686"/>
  <c r="I10" i="686"/>
  <c r="J10" i="686"/>
  <c r="X10" i="686" s="1"/>
  <c r="W10" i="686"/>
  <c r="E11" i="686"/>
  <c r="F11" i="686"/>
  <c r="G11" i="686"/>
  <c r="H11" i="686"/>
  <c r="I12" i="686"/>
  <c r="I18" i="686" s="1"/>
  <c r="J20" i="686"/>
  <c r="I27" i="686"/>
  <c r="J27" i="686" s="1"/>
  <c r="K21" i="686"/>
  <c r="L21" i="686" s="1"/>
  <c r="M21" i="686" s="1"/>
  <c r="N21" i="686" s="1"/>
  <c r="O21" i="686" s="1"/>
  <c r="P21" i="686" s="1"/>
  <c r="Q21" i="686" s="1"/>
  <c r="R21" i="686" s="1"/>
  <c r="S21" i="686" s="1"/>
  <c r="T21" i="686" s="1"/>
  <c r="U21" i="686" s="1"/>
  <c r="W14" i="686"/>
  <c r="E15" i="686"/>
  <c r="F15" i="686"/>
  <c r="G15" i="686"/>
  <c r="H15" i="686"/>
  <c r="I15" i="686"/>
  <c r="D16" i="686"/>
  <c r="E16" i="686"/>
  <c r="F16" i="686"/>
  <c r="G16" i="686"/>
  <c r="H16" i="686"/>
  <c r="I16" i="686"/>
  <c r="D18" i="686"/>
  <c r="E18" i="686"/>
  <c r="F18" i="686"/>
  <c r="G18" i="686"/>
  <c r="H18" i="686"/>
  <c r="W20" i="686"/>
  <c r="X20" i="686"/>
  <c r="E21" i="686"/>
  <c r="F21" i="686"/>
  <c r="G21" i="686"/>
  <c r="H21" i="686"/>
  <c r="I21" i="686"/>
  <c r="D22" i="686"/>
  <c r="E22" i="686"/>
  <c r="F22" i="686"/>
  <c r="G22" i="686"/>
  <c r="H22" i="686"/>
  <c r="I22" i="686"/>
  <c r="D24" i="686"/>
  <c r="E24" i="686"/>
  <c r="F24" i="686"/>
  <c r="G24" i="686"/>
  <c r="H24" i="686"/>
  <c r="I24" i="686"/>
  <c r="D27" i="686"/>
  <c r="E27" i="686"/>
  <c r="E28" i="686" s="1"/>
  <c r="F27" i="686"/>
  <c r="F28" i="686" s="1"/>
  <c r="G27" i="686"/>
  <c r="G28" i="686" s="1"/>
  <c r="H27" i="686"/>
  <c r="D42" i="686"/>
  <c r="D30" i="686"/>
  <c r="D37" i="686" s="1"/>
  <c r="E42" i="686"/>
  <c r="E82" i="686" s="1"/>
  <c r="E30" i="686"/>
  <c r="F42" i="686"/>
  <c r="F82" i="686" s="1"/>
  <c r="F30" i="686"/>
  <c r="F35" i="686" s="1"/>
  <c r="G42" i="686"/>
  <c r="G30" i="686"/>
  <c r="G37" i="686" s="1"/>
  <c r="H42" i="686"/>
  <c r="H30" i="686" s="1"/>
  <c r="I42" i="686"/>
  <c r="W42" i="686" s="1"/>
  <c r="I30" i="686"/>
  <c r="I34" i="686" s="1"/>
  <c r="W30" i="686"/>
  <c r="D34" i="686"/>
  <c r="E34" i="686"/>
  <c r="G34" i="686"/>
  <c r="D35" i="686"/>
  <c r="G35" i="686"/>
  <c r="I37" i="686"/>
  <c r="E43" i="686"/>
  <c r="E39" i="686"/>
  <c r="G43" i="686"/>
  <c r="G39" i="686"/>
  <c r="H43" i="686"/>
  <c r="H44" i="686" s="1"/>
  <c r="H45" i="686" s="1"/>
  <c r="H39" i="686"/>
  <c r="G44" i="686"/>
  <c r="F46" i="686"/>
  <c r="D50" i="686"/>
  <c r="E50" i="686"/>
  <c r="E51" i="686" s="1"/>
  <c r="F50" i="686"/>
  <c r="G50" i="686"/>
  <c r="G51" i="686" s="1"/>
  <c r="H50" i="686"/>
  <c r="I50" i="686" s="1"/>
  <c r="H51" i="686"/>
  <c r="D52" i="686"/>
  <c r="E52" i="686"/>
  <c r="E92" i="686" s="1"/>
  <c r="F52" i="686"/>
  <c r="G52" i="686"/>
  <c r="H52" i="686"/>
  <c r="H58" i="686" s="1"/>
  <c r="I52" i="686"/>
  <c r="D54" i="686"/>
  <c r="D67" i="686" s="1"/>
  <c r="E54" i="686"/>
  <c r="E67" i="686" s="1"/>
  <c r="E68" i="686" s="1"/>
  <c r="F54" i="686"/>
  <c r="G54" i="686"/>
  <c r="H54" i="686"/>
  <c r="I54" i="686"/>
  <c r="I67" i="686" s="1"/>
  <c r="I60" i="686"/>
  <c r="J60" i="686"/>
  <c r="K61" i="686"/>
  <c r="L61" i="686"/>
  <c r="M61" i="686" s="1"/>
  <c r="N61" i="686" s="1"/>
  <c r="O61" i="686" s="1"/>
  <c r="P61" i="686"/>
  <c r="Q61" i="686" s="1"/>
  <c r="R61" i="686" s="1"/>
  <c r="S61" i="686" s="1"/>
  <c r="T61" i="686" s="1"/>
  <c r="U61" i="686" s="1"/>
  <c r="G55" i="686"/>
  <c r="H55" i="686"/>
  <c r="I55" i="686"/>
  <c r="F56" i="686"/>
  <c r="G56" i="686"/>
  <c r="H56" i="686"/>
  <c r="D57" i="686"/>
  <c r="D58" i="686" s="1"/>
  <c r="E57" i="686"/>
  <c r="F57" i="686"/>
  <c r="F58" i="686" s="1"/>
  <c r="G57" i="686"/>
  <c r="G58" i="686" s="1"/>
  <c r="H57" i="686"/>
  <c r="I57" i="686"/>
  <c r="D60" i="686"/>
  <c r="D62" i="686" s="1"/>
  <c r="E60" i="686"/>
  <c r="E61" i="686" s="1"/>
  <c r="F60" i="686"/>
  <c r="F61" i="686" s="1"/>
  <c r="G60" i="686"/>
  <c r="G61" i="686" s="1"/>
  <c r="H60" i="686"/>
  <c r="H61" i="686" s="1"/>
  <c r="W60" i="686"/>
  <c r="X60" i="686"/>
  <c r="G62" i="686"/>
  <c r="I62" i="686"/>
  <c r="D63" i="686"/>
  <c r="E63" i="686"/>
  <c r="E103" i="686" s="1"/>
  <c r="F63" i="686"/>
  <c r="F64" i="686" s="1"/>
  <c r="G63" i="686"/>
  <c r="G64" i="686" s="1"/>
  <c r="H63" i="686"/>
  <c r="H64" i="686" s="1"/>
  <c r="I63" i="686"/>
  <c r="D82" i="686"/>
  <c r="D70" i="686" s="1"/>
  <c r="G82" i="686"/>
  <c r="G70" i="686"/>
  <c r="G73" i="686" s="1"/>
  <c r="H82" i="686"/>
  <c r="H84" i="686" s="1"/>
  <c r="H70" i="686"/>
  <c r="H73" i="686" s="1"/>
  <c r="I82" i="686"/>
  <c r="W82" i="686" s="1"/>
  <c r="I70" i="686"/>
  <c r="D73" i="686"/>
  <c r="H75" i="686"/>
  <c r="D76" i="686"/>
  <c r="E76" i="686"/>
  <c r="F76" i="686"/>
  <c r="G76" i="686"/>
  <c r="H76" i="686"/>
  <c r="I76" i="686"/>
  <c r="D77" i="686"/>
  <c r="E83" i="686"/>
  <c r="E79" i="686" s="1"/>
  <c r="G83" i="686"/>
  <c r="G84" i="686" s="1"/>
  <c r="H83" i="686"/>
  <c r="H79" i="686"/>
  <c r="H85" i="686"/>
  <c r="F86" i="686"/>
  <c r="D90" i="686"/>
  <c r="W90" i="686" s="1"/>
  <c r="E90" i="686"/>
  <c r="E91" i="686" s="1"/>
  <c r="F90" i="686"/>
  <c r="F91" i="686" s="1"/>
  <c r="G90" i="686"/>
  <c r="G91" i="686" s="1"/>
  <c r="H90" i="686"/>
  <c r="I90" i="686"/>
  <c r="J90" i="686" s="1"/>
  <c r="D92" i="686"/>
  <c r="F92" i="686"/>
  <c r="G92" i="686"/>
  <c r="D94" i="686"/>
  <c r="D107" i="686" s="1"/>
  <c r="W107" i="686" s="1"/>
  <c r="E94" i="686"/>
  <c r="F94" i="686"/>
  <c r="G94" i="686"/>
  <c r="G95" i="686" s="1"/>
  <c r="H94" i="686"/>
  <c r="I94" i="686"/>
  <c r="J94" i="686" s="1"/>
  <c r="J96" i="686" s="1"/>
  <c r="F96" i="686"/>
  <c r="H96" i="686"/>
  <c r="I96" i="686"/>
  <c r="D97" i="686"/>
  <c r="F97" i="686"/>
  <c r="F98" i="686" s="1"/>
  <c r="H97" i="686"/>
  <c r="I97" i="686"/>
  <c r="D98" i="686"/>
  <c r="D100" i="686"/>
  <c r="D102" i="686" s="1"/>
  <c r="F100" i="686"/>
  <c r="H100" i="686"/>
  <c r="I100" i="686"/>
  <c r="W100" i="686" s="1"/>
  <c r="J100" i="686"/>
  <c r="X100" i="686" s="1"/>
  <c r="F102" i="686"/>
  <c r="I102" i="686"/>
  <c r="D103" i="686"/>
  <c r="F103" i="686"/>
  <c r="F104" i="686" s="1"/>
  <c r="G103" i="686"/>
  <c r="H103" i="686"/>
  <c r="D104" i="686"/>
  <c r="H107" i="686"/>
  <c r="I107" i="686"/>
  <c r="I108" i="686" s="1"/>
  <c r="D122" i="686"/>
  <c r="D110" i="686" s="1"/>
  <c r="G122" i="686"/>
  <c r="G124" i="686" s="1"/>
  <c r="G110" i="686"/>
  <c r="H122" i="686"/>
  <c r="I122" i="686"/>
  <c r="I110" i="686" s="1"/>
  <c r="I115" i="686"/>
  <c r="D116" i="686"/>
  <c r="E116" i="686"/>
  <c r="F116" i="686"/>
  <c r="G116" i="686"/>
  <c r="H116" i="686"/>
  <c r="I116" i="686"/>
  <c r="G123" i="686"/>
  <c r="G119" i="686"/>
  <c r="H123" i="686"/>
  <c r="H119" i="686"/>
  <c r="H120" i="686" s="1"/>
  <c r="F126" i="686"/>
  <c r="X2" i="412"/>
  <c r="AC2" i="565" s="1"/>
  <c r="J7" i="412"/>
  <c r="E8" i="412"/>
  <c r="F8" i="412"/>
  <c r="G8" i="412"/>
  <c r="H8" i="412"/>
  <c r="I8" i="412"/>
  <c r="F9" i="412"/>
  <c r="G9" i="412"/>
  <c r="W9" i="412"/>
  <c r="X9" i="412"/>
  <c r="F10" i="412"/>
  <c r="K23" i="412"/>
  <c r="L27" i="412"/>
  <c r="L23" i="412"/>
  <c r="M23" i="412" s="1"/>
  <c r="N23" i="412" s="1"/>
  <c r="O23" i="412" s="1"/>
  <c r="P23" i="412" s="1"/>
  <c r="Q23" i="412" s="1"/>
  <c r="R23" i="412" s="1"/>
  <c r="M27" i="412"/>
  <c r="N27" i="412" s="1"/>
  <c r="O27" i="412" s="1"/>
  <c r="P27" i="412" s="1"/>
  <c r="Q27" i="412" s="1"/>
  <c r="R27" i="412" s="1"/>
  <c r="S27" i="412"/>
  <c r="T27" i="412" s="1"/>
  <c r="U27" i="412" s="1"/>
  <c r="S23" i="412"/>
  <c r="T23" i="412" s="1"/>
  <c r="U23" i="412" s="1"/>
  <c r="W12" i="412"/>
  <c r="W14" i="412" s="1"/>
  <c r="X12" i="412"/>
  <c r="X17" i="412"/>
  <c r="W19" i="412"/>
  <c r="X19" i="412"/>
  <c r="X20" i="412"/>
  <c r="G23" i="412"/>
  <c r="H23" i="412"/>
  <c r="D29" i="412"/>
  <c r="E29" i="412"/>
  <c r="F29" i="412"/>
  <c r="G29" i="412"/>
  <c r="G34" i="412" s="1"/>
  <c r="H29" i="412"/>
  <c r="H34" i="412" s="1"/>
  <c r="W30" i="412"/>
  <c r="W32" i="412" s="1"/>
  <c r="X30" i="412"/>
  <c r="X44" i="412" s="1"/>
  <c r="X31" i="412"/>
  <c r="E34" i="412"/>
  <c r="F34" i="412"/>
  <c r="W34" i="412"/>
  <c r="X34" i="412"/>
  <c r="W37" i="412"/>
  <c r="W39" i="412" s="1"/>
  <c r="F41" i="412"/>
  <c r="F42" i="412" s="1"/>
  <c r="G41" i="412"/>
  <c r="G42" i="412" s="1"/>
  <c r="W42" i="412"/>
  <c r="X42" i="412"/>
  <c r="W44" i="412"/>
  <c r="D48" i="412"/>
  <c r="F48" i="412"/>
  <c r="H48" i="412"/>
  <c r="J48" i="412"/>
  <c r="X48" i="412" s="1"/>
  <c r="J66" i="412"/>
  <c r="K48" i="412" s="1"/>
  <c r="L69" i="412"/>
  <c r="L67" i="412"/>
  <c r="M69" i="412"/>
  <c r="M67" i="412"/>
  <c r="N67" i="412" s="1"/>
  <c r="O67" i="412" s="1"/>
  <c r="P67" i="412" s="1"/>
  <c r="Q67" i="412" s="1"/>
  <c r="R67" i="412" s="1"/>
  <c r="S67" i="412" s="1"/>
  <c r="T67" i="412" s="1"/>
  <c r="U67" i="412" s="1"/>
  <c r="E52" i="412"/>
  <c r="F52" i="412"/>
  <c r="G52" i="412" s="1"/>
  <c r="H52" i="412"/>
  <c r="I52" i="412"/>
  <c r="J52" i="412"/>
  <c r="K52" i="412" s="1"/>
  <c r="L52" i="412" s="1"/>
  <c r="M52" i="412" s="1"/>
  <c r="N52" i="412" s="1"/>
  <c r="O52" i="412" s="1"/>
  <c r="P52" i="412" s="1"/>
  <c r="Q52" i="412" s="1"/>
  <c r="R52" i="412" s="1"/>
  <c r="S52" i="412" s="1"/>
  <c r="T52" i="412" s="1"/>
  <c r="U52" i="412" s="1"/>
  <c r="W51" i="412"/>
  <c r="W58" i="412" s="1"/>
  <c r="D61" i="412"/>
  <c r="E61" i="412"/>
  <c r="D66" i="412"/>
  <c r="E66" i="412"/>
  <c r="F66" i="412"/>
  <c r="F68" i="412" s="1"/>
  <c r="G66" i="412"/>
  <c r="G68" i="412" s="1"/>
  <c r="H66" i="412"/>
  <c r="I66" i="412"/>
  <c r="I68" i="412" s="1"/>
  <c r="D67" i="412"/>
  <c r="E67" i="412"/>
  <c r="F67" i="412"/>
  <c r="G67" i="412"/>
  <c r="H67" i="412"/>
  <c r="H68" i="412" s="1"/>
  <c r="I67" i="412"/>
  <c r="C68" i="412"/>
  <c r="D68" i="412"/>
  <c r="E68" i="412"/>
  <c r="X71" i="412"/>
  <c r="E94" i="412"/>
  <c r="X2" i="411"/>
  <c r="AC2" i="562" s="1"/>
  <c r="J7" i="411"/>
  <c r="E8" i="411"/>
  <c r="F8" i="411"/>
  <c r="G8" i="411"/>
  <c r="H8" i="411"/>
  <c r="H34" i="411" s="1"/>
  <c r="I8" i="411"/>
  <c r="I9" i="411" s="1"/>
  <c r="F9" i="411"/>
  <c r="H9" i="411"/>
  <c r="X9" i="411"/>
  <c r="F10" i="411"/>
  <c r="K23" i="411"/>
  <c r="L27" i="411"/>
  <c r="L23" i="411"/>
  <c r="M23" i="411" s="1"/>
  <c r="N23" i="411" s="1"/>
  <c r="O23" i="411" s="1"/>
  <c r="P23" i="411" s="1"/>
  <c r="Q23" i="411" s="1"/>
  <c r="R23" i="411" s="1"/>
  <c r="S23" i="411" s="1"/>
  <c r="T23" i="411" s="1"/>
  <c r="U23" i="411" s="1"/>
  <c r="M27" i="411"/>
  <c r="N27" i="411"/>
  <c r="O27" i="411" s="1"/>
  <c r="P27" i="411" s="1"/>
  <c r="Q27" i="411" s="1"/>
  <c r="R27" i="411" s="1"/>
  <c r="S27" i="411" s="1"/>
  <c r="T27" i="411" s="1"/>
  <c r="U27" i="411" s="1"/>
  <c r="W12" i="411"/>
  <c r="X12" i="411"/>
  <c r="X14" i="411"/>
  <c r="X17" i="411"/>
  <c r="W19" i="411"/>
  <c r="X19" i="411"/>
  <c r="X20" i="411"/>
  <c r="G23" i="411"/>
  <c r="H23" i="411"/>
  <c r="D29" i="411"/>
  <c r="E29" i="411"/>
  <c r="F29" i="411"/>
  <c r="G29" i="411"/>
  <c r="H29" i="411"/>
  <c r="W30" i="411"/>
  <c r="X30" i="411"/>
  <c r="X37" i="411" s="1"/>
  <c r="W32" i="411"/>
  <c r="X32" i="411"/>
  <c r="E34" i="411"/>
  <c r="F34" i="411"/>
  <c r="G34" i="411"/>
  <c r="W34" i="411"/>
  <c r="X34" i="411"/>
  <c r="W37" i="411"/>
  <c r="W39" i="411"/>
  <c r="F41" i="411"/>
  <c r="G41" i="411"/>
  <c r="G42" i="411" s="1"/>
  <c r="F42" i="411"/>
  <c r="W42" i="411"/>
  <c r="X42" i="411"/>
  <c r="W44" i="411"/>
  <c r="W54" i="411" s="1"/>
  <c r="X44" i="411"/>
  <c r="X46" i="411" s="1"/>
  <c r="X45" i="411"/>
  <c r="W46" i="411"/>
  <c r="D48" i="411"/>
  <c r="F48" i="411"/>
  <c r="H48" i="411"/>
  <c r="J48" i="411"/>
  <c r="J66" i="411"/>
  <c r="K48" i="411"/>
  <c r="L69" i="411"/>
  <c r="M69" i="411" s="1"/>
  <c r="L67" i="411"/>
  <c r="M67" i="411" s="1"/>
  <c r="N67" i="411" s="1"/>
  <c r="O67" i="411" s="1"/>
  <c r="P67" i="411" s="1"/>
  <c r="Q67" i="411" s="1"/>
  <c r="R67" i="411" s="1"/>
  <c r="S67" i="411" s="1"/>
  <c r="T67" i="411" s="1"/>
  <c r="U67" i="411" s="1"/>
  <c r="X48" i="411"/>
  <c r="E52" i="411"/>
  <c r="F52" i="411"/>
  <c r="G52" i="411" s="1"/>
  <c r="H52" i="411" s="1"/>
  <c r="I52" i="411" s="1"/>
  <c r="J52" i="411" s="1"/>
  <c r="K52" i="411" s="1"/>
  <c r="L52" i="411" s="1"/>
  <c r="M52" i="411" s="1"/>
  <c r="N52" i="411" s="1"/>
  <c r="O52" i="411" s="1"/>
  <c r="P52" i="411" s="1"/>
  <c r="Q52" i="411" s="1"/>
  <c r="R52" i="411" s="1"/>
  <c r="S52" i="411" s="1"/>
  <c r="T52" i="411" s="1"/>
  <c r="U52" i="411" s="1"/>
  <c r="W51" i="411"/>
  <c r="W58" i="411" s="1"/>
  <c r="X51" i="411"/>
  <c r="X58" i="411" s="1"/>
  <c r="D61" i="411"/>
  <c r="E61" i="411"/>
  <c r="D66" i="411"/>
  <c r="D68" i="411" s="1"/>
  <c r="E66" i="411"/>
  <c r="F66" i="411"/>
  <c r="G66" i="411"/>
  <c r="G68" i="411" s="1"/>
  <c r="H66" i="411"/>
  <c r="H68" i="411" s="1"/>
  <c r="I66" i="411"/>
  <c r="D67" i="411"/>
  <c r="E67" i="411"/>
  <c r="F67" i="411"/>
  <c r="G67" i="411"/>
  <c r="H67" i="411"/>
  <c r="I67" i="411"/>
  <c r="C68" i="411"/>
  <c r="E68" i="411"/>
  <c r="F68" i="411"/>
  <c r="I68" i="411"/>
  <c r="W71" i="411" s="1"/>
  <c r="W73" i="411" s="1"/>
  <c r="X73" i="411" s="1"/>
  <c r="X71" i="411"/>
  <c r="E94" i="411"/>
  <c r="E8" i="1"/>
  <c r="F8" i="1"/>
  <c r="F9" i="1" s="1"/>
  <c r="G8" i="1"/>
  <c r="H8" i="1"/>
  <c r="I8" i="1"/>
  <c r="W9" i="1" s="1"/>
  <c r="H9" i="1"/>
  <c r="I9" i="1"/>
  <c r="X9" i="1"/>
  <c r="F10" i="1"/>
  <c r="K23" i="1"/>
  <c r="L23" i="1" s="1"/>
  <c r="M23" i="1" s="1"/>
  <c r="N23" i="1" s="1"/>
  <c r="O23" i="1" s="1"/>
  <c r="P23" i="1" s="1"/>
  <c r="Q23" i="1" s="1"/>
  <c r="R23" i="1" s="1"/>
  <c r="S23" i="1" s="1"/>
  <c r="T23" i="1" s="1"/>
  <c r="U23" i="1" s="1"/>
  <c r="M27" i="1"/>
  <c r="N27" i="1"/>
  <c r="O27" i="1" s="1"/>
  <c r="P27" i="1" s="1"/>
  <c r="Q27" i="1" s="1"/>
  <c r="R27" i="1" s="1"/>
  <c r="S27" i="1" s="1"/>
  <c r="T27" i="1" s="1"/>
  <c r="U27" i="1" s="1"/>
  <c r="W12" i="1"/>
  <c r="X12" i="1"/>
  <c r="X13" i="1"/>
  <c r="W14" i="1"/>
  <c r="X14" i="1"/>
  <c r="X17" i="1"/>
  <c r="W19" i="1"/>
  <c r="X19" i="1"/>
  <c r="X20" i="1"/>
  <c r="G23" i="1"/>
  <c r="H23" i="1"/>
  <c r="D29" i="1"/>
  <c r="E29" i="1"/>
  <c r="F29" i="1"/>
  <c r="G29" i="1"/>
  <c r="H29" i="1"/>
  <c r="W30" i="1"/>
  <c r="X30" i="1"/>
  <c r="X37" i="1" s="1"/>
  <c r="W32" i="1"/>
  <c r="E34" i="1"/>
  <c r="F34" i="1"/>
  <c r="G34" i="1"/>
  <c r="H34" i="1"/>
  <c r="W34" i="1"/>
  <c r="X34" i="1"/>
  <c r="W37" i="1"/>
  <c r="W39" i="1"/>
  <c r="F41" i="1"/>
  <c r="F42" i="1" s="1"/>
  <c r="G41" i="1"/>
  <c r="G42" i="1" s="1"/>
  <c r="W42" i="1"/>
  <c r="X42" i="1"/>
  <c r="W44" i="1"/>
  <c r="W46" i="1"/>
  <c r="D48" i="1"/>
  <c r="F48" i="1"/>
  <c r="H48" i="1"/>
  <c r="J48" i="1"/>
  <c r="J66" i="1"/>
  <c r="K48" i="1"/>
  <c r="L69" i="1"/>
  <c r="L67" i="1"/>
  <c r="M67" i="1" s="1"/>
  <c r="N67" i="1" s="1"/>
  <c r="O67" i="1" s="1"/>
  <c r="P67" i="1" s="1"/>
  <c r="Q67" i="1" s="1"/>
  <c r="R67" i="1" s="1"/>
  <c r="S67" i="1" s="1"/>
  <c r="T67" i="1" s="1"/>
  <c r="U67" i="1" s="1"/>
  <c r="X48" i="1"/>
  <c r="X51" i="1" s="1"/>
  <c r="X58" i="1" s="1"/>
  <c r="X59" i="1" s="1"/>
  <c r="E52" i="1"/>
  <c r="F52" i="1" s="1"/>
  <c r="G52" i="1" s="1"/>
  <c r="H52" i="1" s="1"/>
  <c r="I52" i="1" s="1"/>
  <c r="J52" i="1" s="1"/>
  <c r="K52" i="1" s="1"/>
  <c r="L52" i="1" s="1"/>
  <c r="M52" i="1" s="1"/>
  <c r="N52" i="1" s="1"/>
  <c r="O52" i="1" s="1"/>
  <c r="P52" i="1" s="1"/>
  <c r="Q52" i="1" s="1"/>
  <c r="R52" i="1" s="1"/>
  <c r="S52" i="1" s="1"/>
  <c r="T52" i="1" s="1"/>
  <c r="U52" i="1" s="1"/>
  <c r="W51" i="1"/>
  <c r="W54" i="1"/>
  <c r="W58" i="1"/>
  <c r="D61" i="1"/>
  <c r="E61" i="1"/>
  <c r="D66" i="1"/>
  <c r="E66" i="1"/>
  <c r="E68" i="1" s="1"/>
  <c r="F66" i="1"/>
  <c r="F68" i="1" s="1"/>
  <c r="G66" i="1"/>
  <c r="H66" i="1"/>
  <c r="I66" i="1"/>
  <c r="D67" i="1"/>
  <c r="E67" i="1"/>
  <c r="F67" i="1"/>
  <c r="G67" i="1"/>
  <c r="H67" i="1"/>
  <c r="H68" i="1" s="1"/>
  <c r="I67" i="1"/>
  <c r="C68" i="1"/>
  <c r="D68" i="1"/>
  <c r="G68" i="1"/>
  <c r="I68" i="1"/>
  <c r="W71" i="1" s="1"/>
  <c r="W73" i="1" s="1"/>
  <c r="X71" i="1"/>
  <c r="E98" i="1"/>
  <c r="E98" i="412" s="1"/>
  <c r="D94" i="412" s="1"/>
  <c r="D94" i="1"/>
  <c r="D95" i="1"/>
  <c r="E95" i="1" s="1"/>
  <c r="D96" i="1"/>
  <c r="I77" i="1"/>
  <c r="J88" i="1"/>
  <c r="G616" i="2"/>
  <c r="G617" i="2"/>
  <c r="G618" i="2"/>
  <c r="G619" i="2"/>
  <c r="G620" i="2"/>
  <c r="G621" i="2"/>
  <c r="W616" i="2"/>
  <c r="W617" i="2"/>
  <c r="W618" i="2"/>
  <c r="W619" i="2"/>
  <c r="W620" i="2"/>
  <c r="W621" i="2"/>
  <c r="AM616" i="2"/>
  <c r="AM617" i="2"/>
  <c r="AM618" i="2"/>
  <c r="AM619" i="2"/>
  <c r="AM620" i="2"/>
  <c r="AM621" i="2"/>
  <c r="BC616" i="2"/>
  <c r="BC617" i="2"/>
  <c r="BC618" i="2"/>
  <c r="BC619" i="2"/>
  <c r="BC620" i="2"/>
  <c r="BC621" i="2"/>
  <c r="BY616" i="2"/>
  <c r="BY617" i="2"/>
  <c r="BY618" i="2"/>
  <c r="BY619" i="2"/>
  <c r="BY620" i="2"/>
  <c r="BY621" i="2"/>
  <c r="H616" i="2"/>
  <c r="H617" i="2"/>
  <c r="H618" i="2"/>
  <c r="H619" i="2"/>
  <c r="H620" i="2"/>
  <c r="H621" i="2"/>
  <c r="X616" i="2"/>
  <c r="X617" i="2"/>
  <c r="X618" i="2"/>
  <c r="X619" i="2"/>
  <c r="X620" i="2"/>
  <c r="X621" i="2"/>
  <c r="AN616" i="2"/>
  <c r="AN617" i="2"/>
  <c r="AN618" i="2"/>
  <c r="AN619" i="2"/>
  <c r="AN620" i="2"/>
  <c r="AN621" i="2"/>
  <c r="BD616" i="2"/>
  <c r="BD617" i="2"/>
  <c r="BD618" i="2"/>
  <c r="BD619" i="2"/>
  <c r="BD620" i="2"/>
  <c r="BD621" i="2"/>
  <c r="BZ616" i="2"/>
  <c r="BZ617" i="2"/>
  <c r="BZ618" i="2"/>
  <c r="BZ619" i="2"/>
  <c r="BZ620" i="2"/>
  <c r="BZ621" i="2"/>
  <c r="I616" i="2"/>
  <c r="I617" i="2"/>
  <c r="I618" i="2"/>
  <c r="I619" i="2"/>
  <c r="I620" i="2"/>
  <c r="I621" i="2"/>
  <c r="Y616" i="2"/>
  <c r="Y617" i="2"/>
  <c r="Y618" i="2"/>
  <c r="Y619" i="2"/>
  <c r="Y620" i="2"/>
  <c r="Y621" i="2"/>
  <c r="AO616" i="2"/>
  <c r="AO617" i="2"/>
  <c r="AO618" i="2"/>
  <c r="AO619" i="2"/>
  <c r="AO620" i="2"/>
  <c r="AO621" i="2"/>
  <c r="BE616" i="2"/>
  <c r="BE617" i="2"/>
  <c r="BE618" i="2"/>
  <c r="BE619" i="2"/>
  <c r="BE620" i="2"/>
  <c r="BE621" i="2"/>
  <c r="CA616" i="2"/>
  <c r="CA617" i="2"/>
  <c r="CA618" i="2"/>
  <c r="CA619" i="2"/>
  <c r="CA620" i="2"/>
  <c r="CA621" i="2"/>
  <c r="J616" i="2"/>
  <c r="J617" i="2"/>
  <c r="J618" i="2"/>
  <c r="J619" i="2"/>
  <c r="J620" i="2"/>
  <c r="J621" i="2"/>
  <c r="Z616" i="2"/>
  <c r="Z617" i="2"/>
  <c r="Z618" i="2"/>
  <c r="Z619" i="2"/>
  <c r="Z620" i="2"/>
  <c r="Z621" i="2"/>
  <c r="AP616" i="2"/>
  <c r="AP617" i="2"/>
  <c r="AP618" i="2"/>
  <c r="AP619" i="2"/>
  <c r="AP620" i="2"/>
  <c r="AP621" i="2"/>
  <c r="BF616" i="2"/>
  <c r="BF617" i="2"/>
  <c r="BF618" i="2"/>
  <c r="BF619" i="2"/>
  <c r="BF620" i="2"/>
  <c r="BF621" i="2"/>
  <c r="CB616" i="2"/>
  <c r="CB617" i="2"/>
  <c r="CB618" i="2"/>
  <c r="CB619" i="2"/>
  <c r="CB620" i="2"/>
  <c r="CB621" i="2"/>
  <c r="K616" i="2"/>
  <c r="K617" i="2"/>
  <c r="K618" i="2"/>
  <c r="K619" i="2"/>
  <c r="K620" i="2"/>
  <c r="K621" i="2"/>
  <c r="AA616" i="2"/>
  <c r="AA617" i="2"/>
  <c r="AA618" i="2"/>
  <c r="AA619" i="2"/>
  <c r="AA620" i="2"/>
  <c r="AA621" i="2"/>
  <c r="AQ616" i="2"/>
  <c r="AQ617" i="2"/>
  <c r="AQ618" i="2"/>
  <c r="AQ619" i="2"/>
  <c r="AQ620" i="2"/>
  <c r="AQ621" i="2"/>
  <c r="BG616" i="2"/>
  <c r="BG617" i="2"/>
  <c r="BG618" i="2"/>
  <c r="BG619" i="2"/>
  <c r="BG620" i="2"/>
  <c r="BG621" i="2"/>
  <c r="CC616" i="2"/>
  <c r="CC617" i="2"/>
  <c r="CC618" i="2"/>
  <c r="CC619" i="2"/>
  <c r="CC620" i="2"/>
  <c r="CC621" i="2"/>
  <c r="L616" i="2"/>
  <c r="L617" i="2"/>
  <c r="L618" i="2"/>
  <c r="L619" i="2"/>
  <c r="L620" i="2"/>
  <c r="L621" i="2"/>
  <c r="AB616" i="2"/>
  <c r="AB617" i="2"/>
  <c r="AB618" i="2"/>
  <c r="AB619" i="2"/>
  <c r="AB620" i="2"/>
  <c r="AB621" i="2"/>
  <c r="AR616" i="2"/>
  <c r="AR617" i="2"/>
  <c r="AR618" i="2"/>
  <c r="AR619" i="2"/>
  <c r="AR620" i="2"/>
  <c r="AR621" i="2"/>
  <c r="BH616" i="2"/>
  <c r="BH617" i="2"/>
  <c r="BH618" i="2"/>
  <c r="BH619" i="2"/>
  <c r="BH620" i="2"/>
  <c r="BH621" i="2"/>
  <c r="CD616" i="2"/>
  <c r="CD617" i="2"/>
  <c r="CD618" i="2"/>
  <c r="CD619" i="2"/>
  <c r="CD620" i="2"/>
  <c r="CD621" i="2"/>
  <c r="M616" i="2"/>
  <c r="M617" i="2"/>
  <c r="M618" i="2"/>
  <c r="M619" i="2"/>
  <c r="M620" i="2"/>
  <c r="M621" i="2"/>
  <c r="AC616" i="2"/>
  <c r="AC617" i="2"/>
  <c r="AC618" i="2"/>
  <c r="AC619" i="2"/>
  <c r="AC620" i="2"/>
  <c r="AC621" i="2"/>
  <c r="AS616" i="2"/>
  <c r="AS617" i="2"/>
  <c r="AS618" i="2"/>
  <c r="AS619" i="2"/>
  <c r="AS620" i="2"/>
  <c r="AS621" i="2"/>
  <c r="BI616" i="2"/>
  <c r="BI617" i="2"/>
  <c r="BI618" i="2"/>
  <c r="BI619" i="2"/>
  <c r="BI620" i="2"/>
  <c r="BI621" i="2"/>
  <c r="CE616" i="2"/>
  <c r="CE617" i="2"/>
  <c r="CE618" i="2"/>
  <c r="CE619" i="2"/>
  <c r="CE620" i="2"/>
  <c r="CE621" i="2"/>
  <c r="N616" i="2"/>
  <c r="N617" i="2"/>
  <c r="N618" i="2"/>
  <c r="N619" i="2"/>
  <c r="N620" i="2"/>
  <c r="N621" i="2"/>
  <c r="AD616" i="2"/>
  <c r="AD617" i="2"/>
  <c r="AD618" i="2"/>
  <c r="AD619" i="2"/>
  <c r="AD620" i="2"/>
  <c r="AD621" i="2"/>
  <c r="AT616" i="2"/>
  <c r="AT617" i="2"/>
  <c r="AT618" i="2"/>
  <c r="AT619" i="2"/>
  <c r="AT620" i="2"/>
  <c r="AT621" i="2"/>
  <c r="BJ616" i="2"/>
  <c r="BJ617" i="2"/>
  <c r="BJ618" i="2"/>
  <c r="BJ619" i="2"/>
  <c r="BJ620" i="2"/>
  <c r="BJ621" i="2"/>
  <c r="CF616" i="2"/>
  <c r="CF617" i="2"/>
  <c r="CF618" i="2"/>
  <c r="CF619" i="2"/>
  <c r="CF620" i="2"/>
  <c r="CF621" i="2"/>
  <c r="O616" i="2"/>
  <c r="O617" i="2"/>
  <c r="O618" i="2"/>
  <c r="O619" i="2"/>
  <c r="O620" i="2"/>
  <c r="O621" i="2"/>
  <c r="AE616" i="2"/>
  <c r="AE617" i="2"/>
  <c r="AE618" i="2"/>
  <c r="AE619" i="2"/>
  <c r="AE620" i="2"/>
  <c r="AE621" i="2"/>
  <c r="AU616" i="2"/>
  <c r="AU617" i="2"/>
  <c r="AU618" i="2"/>
  <c r="AU619" i="2"/>
  <c r="AU620" i="2"/>
  <c r="AU621" i="2"/>
  <c r="BK616" i="2"/>
  <c r="BK617" i="2"/>
  <c r="BK618" i="2"/>
  <c r="BK619" i="2"/>
  <c r="BK620" i="2"/>
  <c r="BK621" i="2"/>
  <c r="CG616" i="2"/>
  <c r="CG617" i="2"/>
  <c r="CG618" i="2"/>
  <c r="CG619" i="2"/>
  <c r="CG620" i="2"/>
  <c r="CG621" i="2"/>
  <c r="P616" i="2"/>
  <c r="P617" i="2"/>
  <c r="P618" i="2"/>
  <c r="P619" i="2"/>
  <c r="P620" i="2"/>
  <c r="P621" i="2"/>
  <c r="AF616" i="2"/>
  <c r="AF617" i="2"/>
  <c r="AF618" i="2"/>
  <c r="AF619" i="2"/>
  <c r="AF620" i="2"/>
  <c r="AF621" i="2"/>
  <c r="AV616" i="2"/>
  <c r="AV617" i="2"/>
  <c r="AV618" i="2"/>
  <c r="AV619" i="2"/>
  <c r="AV620" i="2"/>
  <c r="AV621" i="2"/>
  <c r="Q616" i="2"/>
  <c r="Q617" i="2"/>
  <c r="Q618" i="2"/>
  <c r="Q619" i="2"/>
  <c r="Q620" i="2"/>
  <c r="Q621" i="2"/>
  <c r="AG616" i="2"/>
  <c r="AG617" i="2"/>
  <c r="AG618" i="2"/>
  <c r="AG619" i="2"/>
  <c r="AG620" i="2"/>
  <c r="AG621" i="2"/>
  <c r="AW616" i="2"/>
  <c r="AW617" i="2"/>
  <c r="AW618" i="2"/>
  <c r="AW619" i="2"/>
  <c r="AW620" i="2"/>
  <c r="AW621" i="2"/>
  <c r="R616" i="2"/>
  <c r="R617" i="2"/>
  <c r="R618" i="2"/>
  <c r="R619" i="2"/>
  <c r="R620" i="2"/>
  <c r="R621" i="2"/>
  <c r="AH616" i="2"/>
  <c r="AH617" i="2"/>
  <c r="AH618" i="2"/>
  <c r="AH619" i="2"/>
  <c r="AH620" i="2"/>
  <c r="AH621" i="2"/>
  <c r="AX616" i="2"/>
  <c r="AX617" i="2"/>
  <c r="AX618" i="2"/>
  <c r="AX619" i="2"/>
  <c r="AX620" i="2"/>
  <c r="AX621" i="2"/>
  <c r="S616" i="2"/>
  <c r="S617" i="2"/>
  <c r="S618" i="2"/>
  <c r="S619" i="2"/>
  <c r="S620" i="2"/>
  <c r="S621" i="2"/>
  <c r="AI616" i="2"/>
  <c r="AI617" i="2"/>
  <c r="AI618" i="2"/>
  <c r="AI619" i="2"/>
  <c r="AI620" i="2"/>
  <c r="AI621" i="2"/>
  <c r="AY616" i="2"/>
  <c r="AY617" i="2"/>
  <c r="AY618" i="2"/>
  <c r="AY619" i="2"/>
  <c r="AY620" i="2"/>
  <c r="AY621" i="2"/>
  <c r="T616" i="2"/>
  <c r="T617" i="2"/>
  <c r="T618" i="2"/>
  <c r="T619" i="2"/>
  <c r="T620" i="2"/>
  <c r="T621" i="2"/>
  <c r="AJ616" i="2"/>
  <c r="AJ617" i="2"/>
  <c r="AJ618" i="2"/>
  <c r="AJ619" i="2"/>
  <c r="AJ620" i="2"/>
  <c r="AJ621" i="2"/>
  <c r="AZ616" i="2"/>
  <c r="AZ617" i="2"/>
  <c r="AZ618" i="2"/>
  <c r="AZ619" i="2"/>
  <c r="AZ620" i="2"/>
  <c r="AZ621" i="2"/>
  <c r="BV616" i="2"/>
  <c r="BV617" i="2"/>
  <c r="BV618" i="2"/>
  <c r="BV619" i="2"/>
  <c r="BV620" i="2"/>
  <c r="BV621" i="2"/>
  <c r="E616" i="2"/>
  <c r="E617" i="2"/>
  <c r="E618" i="2"/>
  <c r="E619" i="2"/>
  <c r="E620" i="2"/>
  <c r="E621" i="2"/>
  <c r="U616" i="2"/>
  <c r="U617" i="2"/>
  <c r="U618" i="2"/>
  <c r="U619" i="2"/>
  <c r="U620" i="2"/>
  <c r="U621" i="2"/>
  <c r="AK616" i="2"/>
  <c r="AK617" i="2"/>
  <c r="AK618" i="2"/>
  <c r="AK619" i="2"/>
  <c r="AK620" i="2"/>
  <c r="AK621" i="2"/>
  <c r="BA616" i="2"/>
  <c r="BA617" i="2"/>
  <c r="BA618" i="2"/>
  <c r="BA619" i="2"/>
  <c r="BA620" i="2"/>
  <c r="BA621" i="2"/>
  <c r="BW616" i="2"/>
  <c r="BW617" i="2"/>
  <c r="BW618" i="2"/>
  <c r="BW619" i="2"/>
  <c r="BW620" i="2"/>
  <c r="BW621" i="2"/>
  <c r="F616" i="2"/>
  <c r="F617" i="2"/>
  <c r="F618" i="2"/>
  <c r="F619" i="2"/>
  <c r="F620" i="2"/>
  <c r="F621" i="2"/>
  <c r="V616" i="2"/>
  <c r="V617" i="2"/>
  <c r="V618" i="2"/>
  <c r="V619" i="2"/>
  <c r="V620" i="2"/>
  <c r="V621" i="2"/>
  <c r="AL616" i="2"/>
  <c r="AL617" i="2"/>
  <c r="AL618" i="2"/>
  <c r="AL619" i="2"/>
  <c r="AL620" i="2"/>
  <c r="AL621" i="2"/>
  <c r="BB616" i="2"/>
  <c r="BB617" i="2"/>
  <c r="BB618" i="2"/>
  <c r="BB619" i="2"/>
  <c r="BB620" i="2"/>
  <c r="BB621" i="2"/>
  <c r="BX616" i="2"/>
  <c r="BX617" i="2"/>
  <c r="BX618" i="2"/>
  <c r="BX619" i="2"/>
  <c r="BX620" i="2"/>
  <c r="BX621" i="2"/>
  <c r="BX629" i="2" l="1"/>
  <c r="BX628" i="2"/>
  <c r="BX627" i="2"/>
  <c r="BX626" i="2"/>
  <c r="BX625" i="2"/>
  <c r="BX624" i="2"/>
  <c r="BX648" i="2" s="1"/>
  <c r="BB629" i="2"/>
  <c r="BB637" i="2"/>
  <c r="BB628" i="2"/>
  <c r="BB636" i="2"/>
  <c r="BB635" i="2"/>
  <c r="BB627" i="2"/>
  <c r="BB634" i="2"/>
  <c r="BB626" i="2"/>
  <c r="BB633" i="2"/>
  <c r="BB625" i="2"/>
  <c r="BB632" i="2"/>
  <c r="BB624" i="2"/>
  <c r="BB648" i="2" s="1"/>
  <c r="AL629" i="2"/>
  <c r="AL637" i="2"/>
  <c r="AL628" i="2"/>
  <c r="AL636" i="2"/>
  <c r="AL635" i="2"/>
  <c r="AL627" i="2"/>
  <c r="AL634" i="2"/>
  <c r="AL626" i="2"/>
  <c r="AL633" i="2"/>
  <c r="AL625" i="2"/>
  <c r="AL632" i="2"/>
  <c r="AL624" i="2"/>
  <c r="AL648" i="2" s="1"/>
  <c r="AL649" i="2" s="1"/>
  <c r="V629" i="2"/>
  <c r="V637" i="2"/>
  <c r="V628" i="2"/>
  <c r="V636" i="2"/>
  <c r="V635" i="2"/>
  <c r="V627" i="2"/>
  <c r="V634" i="2"/>
  <c r="V626" i="2"/>
  <c r="V633" i="2"/>
  <c r="V625" i="2"/>
  <c r="V632" i="2"/>
  <c r="V624" i="2"/>
  <c r="F637" i="2"/>
  <c r="F636" i="2"/>
  <c r="F635" i="2"/>
  <c r="F634" i="2"/>
  <c r="F633" i="2"/>
  <c r="F632" i="2"/>
  <c r="BW629" i="2"/>
  <c r="BW628" i="2"/>
  <c r="BW627" i="2"/>
  <c r="BW626" i="2"/>
  <c r="BW625" i="2"/>
  <c r="BW624" i="2"/>
  <c r="BA629" i="2"/>
  <c r="BA637" i="2"/>
  <c r="BA628" i="2"/>
  <c r="BA636" i="2"/>
  <c r="BA627" i="2"/>
  <c r="BA635" i="2"/>
  <c r="BA634" i="2"/>
  <c r="BA626" i="2"/>
  <c r="BA633" i="2"/>
  <c r="BA625" i="2"/>
  <c r="BA632" i="2"/>
  <c r="BA624" i="2"/>
  <c r="BA648" i="2" s="1"/>
  <c r="AK629" i="2"/>
  <c r="AK637" i="2"/>
  <c r="AK628" i="2"/>
  <c r="AK636" i="2"/>
  <c r="AK627" i="2"/>
  <c r="AK635" i="2"/>
  <c r="AK634" i="2"/>
  <c r="AK626" i="2"/>
  <c r="AK633" i="2"/>
  <c r="AK625" i="2"/>
  <c r="AK632" i="2"/>
  <c r="AK624" i="2"/>
  <c r="AK648" i="2" s="1"/>
  <c r="U629" i="2"/>
  <c r="U637" i="2"/>
  <c r="U628" i="2"/>
  <c r="U636" i="2"/>
  <c r="U627" i="2"/>
  <c r="U635" i="2"/>
  <c r="U634" i="2"/>
  <c r="U626" i="2"/>
  <c r="U633" i="2"/>
  <c r="U625" i="2"/>
  <c r="U632" i="2"/>
  <c r="U624" i="2"/>
  <c r="E637" i="2"/>
  <c r="E636" i="2"/>
  <c r="E635" i="2"/>
  <c r="E634" i="2"/>
  <c r="E633" i="2"/>
  <c r="E632" i="2"/>
  <c r="BV629" i="2"/>
  <c r="BV628" i="2"/>
  <c r="BV627" i="2"/>
  <c r="BV626" i="2"/>
  <c r="BV625" i="2"/>
  <c r="BV624" i="2"/>
  <c r="AZ629" i="2"/>
  <c r="AZ637" i="2"/>
  <c r="AZ628" i="2"/>
  <c r="AZ636" i="2"/>
  <c r="AZ627" i="2"/>
  <c r="AZ635" i="2"/>
  <c r="AZ626" i="2"/>
  <c r="AZ634" i="2"/>
  <c r="AZ633" i="2"/>
  <c r="AZ625" i="2"/>
  <c r="AZ632" i="2"/>
  <c r="AZ624" i="2"/>
  <c r="AJ629" i="2"/>
  <c r="AJ637" i="2"/>
  <c r="AJ628" i="2"/>
  <c r="AJ636" i="2"/>
  <c r="AJ627" i="2"/>
  <c r="AJ635" i="2"/>
  <c r="AJ626" i="2"/>
  <c r="AJ634" i="2"/>
  <c r="AJ633" i="2"/>
  <c r="AJ625" i="2"/>
  <c r="AJ632" i="2"/>
  <c r="AJ652" i="2" s="1"/>
  <c r="AJ152" i="2" s="1"/>
  <c r="AJ624" i="2"/>
  <c r="AJ648" i="2" s="1"/>
  <c r="T629" i="2"/>
  <c r="T637" i="2"/>
  <c r="T628" i="2"/>
  <c r="T636" i="2"/>
  <c r="T627" i="2"/>
  <c r="T635" i="2"/>
  <c r="T626" i="2"/>
  <c r="T634" i="2"/>
  <c r="T633" i="2"/>
  <c r="T625" i="2"/>
  <c r="T632" i="2"/>
  <c r="T624" i="2"/>
  <c r="AY629" i="2"/>
  <c r="AY637" i="2"/>
  <c r="AY628" i="2"/>
  <c r="AY636" i="2"/>
  <c r="AY635" i="2"/>
  <c r="AY627" i="2"/>
  <c r="AY626" i="2"/>
  <c r="AY634" i="2"/>
  <c r="AY625" i="2"/>
  <c r="AY633" i="2"/>
  <c r="AY632" i="2"/>
  <c r="AY624" i="2"/>
  <c r="AI629" i="2"/>
  <c r="AI637" i="2"/>
  <c r="AI628" i="2"/>
  <c r="AI636" i="2"/>
  <c r="AI635" i="2"/>
  <c r="AI627" i="2"/>
  <c r="AI626" i="2"/>
  <c r="AI634" i="2"/>
  <c r="AI625" i="2"/>
  <c r="AI633" i="2"/>
  <c r="AI632" i="2"/>
  <c r="AI624" i="2"/>
  <c r="S629" i="2"/>
  <c r="S637" i="2"/>
  <c r="S628" i="2"/>
  <c r="S636" i="2"/>
  <c r="S635" i="2"/>
  <c r="S627" i="2"/>
  <c r="S626" i="2"/>
  <c r="S634" i="2"/>
  <c r="S625" i="2"/>
  <c r="S633" i="2"/>
  <c r="S632" i="2"/>
  <c r="S652" i="2" s="1"/>
  <c r="S624" i="2"/>
  <c r="S648" i="2" s="1"/>
  <c r="AX629" i="2"/>
  <c r="AX637" i="2"/>
  <c r="AX628" i="2"/>
  <c r="AX636" i="2"/>
  <c r="AX635" i="2"/>
  <c r="AX627" i="2"/>
  <c r="AX626" i="2"/>
  <c r="AX634" i="2"/>
  <c r="AX625" i="2"/>
  <c r="AX633" i="2"/>
  <c r="AX624" i="2"/>
  <c r="AX632" i="2"/>
  <c r="AH629" i="2"/>
  <c r="AH637" i="2"/>
  <c r="AH628" i="2"/>
  <c r="AH636" i="2"/>
  <c r="AH635" i="2"/>
  <c r="AH627" i="2"/>
  <c r="AH626" i="2"/>
  <c r="AH634" i="2"/>
  <c r="AH625" i="2"/>
  <c r="AH633" i="2"/>
  <c r="AH624" i="2"/>
  <c r="AH632" i="2"/>
  <c r="R629" i="2"/>
  <c r="R637" i="2"/>
  <c r="R628" i="2"/>
  <c r="R636" i="2"/>
  <c r="R635" i="2"/>
  <c r="R627" i="2"/>
  <c r="R626" i="2"/>
  <c r="R634" i="2"/>
  <c r="R625" i="2"/>
  <c r="R633" i="2"/>
  <c r="R624" i="2"/>
  <c r="R632" i="2"/>
  <c r="AW629" i="2"/>
  <c r="AW637" i="2"/>
  <c r="AW628" i="2"/>
  <c r="AW636" i="2"/>
  <c r="AW635" i="2"/>
  <c r="AW627" i="2"/>
  <c r="AW626" i="2"/>
  <c r="AW634" i="2"/>
  <c r="AW625" i="2"/>
  <c r="AW633" i="2"/>
  <c r="AW632" i="2"/>
  <c r="AW652" i="2" s="1"/>
  <c r="AW624" i="2"/>
  <c r="AW648" i="2" s="1"/>
  <c r="AG629" i="2"/>
  <c r="AG637" i="2"/>
  <c r="AG628" i="2"/>
  <c r="AG636" i="2"/>
  <c r="AG635" i="2"/>
  <c r="AG627" i="2"/>
  <c r="AG626" i="2"/>
  <c r="AG634" i="2"/>
  <c r="AG625" i="2"/>
  <c r="AG633" i="2"/>
  <c r="AG632" i="2"/>
  <c r="AG624" i="2"/>
  <c r="AG648" i="2" s="1"/>
  <c r="Q629" i="2"/>
  <c r="Q637" i="2"/>
  <c r="Q628" i="2"/>
  <c r="Q636" i="2"/>
  <c r="Q635" i="2"/>
  <c r="Q627" i="2"/>
  <c r="Q626" i="2"/>
  <c r="Q634" i="2"/>
  <c r="Q625" i="2"/>
  <c r="Q633" i="2"/>
  <c r="Q632" i="2"/>
  <c r="Q624" i="2"/>
  <c r="AV629" i="2"/>
  <c r="AV637" i="2"/>
  <c r="AV628" i="2"/>
  <c r="AV636" i="2"/>
  <c r="AV635" i="2"/>
  <c r="AV627" i="2"/>
  <c r="AV626" i="2"/>
  <c r="AV634" i="2"/>
  <c r="AV625" i="2"/>
  <c r="AV633" i="2"/>
  <c r="AV632" i="2"/>
  <c r="AV624" i="2"/>
  <c r="AF629" i="2"/>
  <c r="AF637" i="2"/>
  <c r="AF628" i="2"/>
  <c r="AF636" i="2"/>
  <c r="AF635" i="2"/>
  <c r="AF627" i="2"/>
  <c r="AF626" i="2"/>
  <c r="AF634" i="2"/>
  <c r="AF625" i="2"/>
  <c r="AF633" i="2"/>
  <c r="AF632" i="2"/>
  <c r="AF652" i="2" s="1"/>
  <c r="AF624" i="2"/>
  <c r="AF648" i="2" s="1"/>
  <c r="P629" i="2"/>
  <c r="P637" i="2"/>
  <c r="P628" i="2"/>
  <c r="P636" i="2"/>
  <c r="P635" i="2"/>
  <c r="P627" i="2"/>
  <c r="P626" i="2"/>
  <c r="P634" i="2"/>
  <c r="P625" i="2"/>
  <c r="P633" i="2"/>
  <c r="P632" i="2"/>
  <c r="P624" i="2"/>
  <c r="P648" i="2" s="1"/>
  <c r="CG629" i="2"/>
  <c r="CG628" i="2"/>
  <c r="CG627" i="2"/>
  <c r="CG626" i="2"/>
  <c r="CG625" i="2"/>
  <c r="CG624" i="2"/>
  <c r="BO629" i="2"/>
  <c r="BK637" i="2"/>
  <c r="BL637" i="2"/>
  <c r="BK629" i="2"/>
  <c r="BK628" i="2"/>
  <c r="BK636" i="2"/>
  <c r="BO628" i="2"/>
  <c r="BL636" i="2"/>
  <c r="BK635" i="2"/>
  <c r="BL635" i="2"/>
  <c r="BK627" i="2"/>
  <c r="BO627" i="2"/>
  <c r="BK626" i="2"/>
  <c r="BO626" i="2"/>
  <c r="BK634" i="2"/>
  <c r="BL634" i="2"/>
  <c r="BK625" i="2"/>
  <c r="BO625" i="2"/>
  <c r="BK633" i="2"/>
  <c r="BL633" i="2"/>
  <c r="BO624" i="2"/>
  <c r="BK632" i="2"/>
  <c r="BK652" i="2" s="1"/>
  <c r="BK624" i="2"/>
  <c r="BL632" i="2"/>
  <c r="AU637" i="2"/>
  <c r="AU629" i="2"/>
  <c r="AU628" i="2"/>
  <c r="AU636" i="2"/>
  <c r="AU635" i="2"/>
  <c r="AU627" i="2"/>
  <c r="AU626" i="2"/>
  <c r="AU634" i="2"/>
  <c r="AU625" i="2"/>
  <c r="AU633" i="2"/>
  <c r="AU632" i="2"/>
  <c r="AU624" i="2"/>
  <c r="AE637" i="2"/>
  <c r="AE629" i="2"/>
  <c r="AE628" i="2"/>
  <c r="AE636" i="2"/>
  <c r="AE635" i="2"/>
  <c r="AE627" i="2"/>
  <c r="AE626" i="2"/>
  <c r="AE634" i="2"/>
  <c r="AE625" i="2"/>
  <c r="AE633" i="2"/>
  <c r="AE632" i="2"/>
  <c r="AE624" i="2"/>
  <c r="O637" i="2"/>
  <c r="O629" i="2"/>
  <c r="O628" i="2"/>
  <c r="O636" i="2"/>
  <c r="O635" i="2"/>
  <c r="O627" i="2"/>
  <c r="O626" i="2"/>
  <c r="O634" i="2"/>
  <c r="O625" i="2"/>
  <c r="O633" i="2"/>
  <c r="O632" i="2"/>
  <c r="O624" i="2"/>
  <c r="CF629" i="2"/>
  <c r="CF628" i="2"/>
  <c r="CF627" i="2"/>
  <c r="CF626" i="2"/>
  <c r="CF625" i="2"/>
  <c r="CF624" i="2"/>
  <c r="BN629" i="2"/>
  <c r="BJ637" i="2"/>
  <c r="BJ629" i="2"/>
  <c r="BJ628" i="2"/>
  <c r="BJ636" i="2"/>
  <c r="BN628" i="2"/>
  <c r="BJ635" i="2"/>
  <c r="BJ627" i="2"/>
  <c r="BN627" i="2"/>
  <c r="BJ626" i="2"/>
  <c r="BN626" i="2"/>
  <c r="BJ634" i="2"/>
  <c r="BJ625" i="2"/>
  <c r="BN625" i="2"/>
  <c r="BJ633" i="2"/>
  <c r="BN624" i="2"/>
  <c r="BJ632" i="2"/>
  <c r="BJ624" i="2"/>
  <c r="AT637" i="2"/>
  <c r="AT629" i="2"/>
  <c r="AT628" i="2"/>
  <c r="AT636" i="2"/>
  <c r="AT635" i="2"/>
  <c r="AT627" i="2"/>
  <c r="AT626" i="2"/>
  <c r="AT634" i="2"/>
  <c r="AT625" i="2"/>
  <c r="AT633" i="2"/>
  <c r="AT632" i="2"/>
  <c r="AT624" i="2"/>
  <c r="AD637" i="2"/>
  <c r="AD629" i="2"/>
  <c r="AD628" i="2"/>
  <c r="AD636" i="2"/>
  <c r="AD635" i="2"/>
  <c r="AD627" i="2"/>
  <c r="AD626" i="2"/>
  <c r="AD634" i="2"/>
  <c r="AD625" i="2"/>
  <c r="AD633" i="2"/>
  <c r="AD632" i="2"/>
  <c r="AD652" i="2" s="1"/>
  <c r="AD152" i="2" s="1"/>
  <c r="AD624" i="2"/>
  <c r="N637" i="2"/>
  <c r="N629" i="2"/>
  <c r="N628" i="2"/>
  <c r="N636" i="2"/>
  <c r="N635" i="2"/>
  <c r="N627" i="2"/>
  <c r="N626" i="2"/>
  <c r="N634" i="2"/>
  <c r="N625" i="2"/>
  <c r="N633" i="2"/>
  <c r="N632" i="2"/>
  <c r="N624" i="2"/>
  <c r="CE629" i="2"/>
  <c r="CE628" i="2"/>
  <c r="CE627" i="2"/>
  <c r="CE626" i="2"/>
  <c r="CE625" i="2"/>
  <c r="CE624" i="2"/>
  <c r="BM629" i="2"/>
  <c r="BI637" i="2"/>
  <c r="BI629" i="2"/>
  <c r="BI628" i="2"/>
  <c r="BI636" i="2"/>
  <c r="BM628" i="2"/>
  <c r="BI635" i="2"/>
  <c r="BI627" i="2"/>
  <c r="BM627" i="2"/>
  <c r="BM626" i="2"/>
  <c r="BI634" i="2"/>
  <c r="BI626" i="2"/>
  <c r="BI625" i="2"/>
  <c r="BM625" i="2"/>
  <c r="BI633" i="2"/>
  <c r="BI632" i="2"/>
  <c r="BI652" i="2" s="1"/>
  <c r="BI624" i="2"/>
  <c r="BM624" i="2"/>
  <c r="AS637" i="2"/>
  <c r="AS629" i="2"/>
  <c r="AS628" i="2"/>
  <c r="AS636" i="2"/>
  <c r="AS635" i="2"/>
  <c r="AS627" i="2"/>
  <c r="AS634" i="2"/>
  <c r="AS626" i="2"/>
  <c r="AS625" i="2"/>
  <c r="AS633" i="2"/>
  <c r="AS632" i="2"/>
  <c r="AS652" i="2" s="1"/>
  <c r="AS624" i="2"/>
  <c r="AC637" i="2"/>
  <c r="AC629" i="2"/>
  <c r="AC628" i="2"/>
  <c r="AC636" i="2"/>
  <c r="AC635" i="2"/>
  <c r="AC627" i="2"/>
  <c r="AC634" i="2"/>
  <c r="AC626" i="2"/>
  <c r="AC625" i="2"/>
  <c r="AC633" i="2"/>
  <c r="AC632" i="2"/>
  <c r="AC624" i="2"/>
  <c r="M637" i="2"/>
  <c r="M629" i="2"/>
  <c r="M628" i="2"/>
  <c r="M636" i="2"/>
  <c r="M635" i="2"/>
  <c r="M627" i="2"/>
  <c r="M634" i="2"/>
  <c r="M626" i="2"/>
  <c r="M625" i="2"/>
  <c r="M633" i="2"/>
  <c r="M632" i="2"/>
  <c r="M624" i="2"/>
  <c r="CD629" i="2"/>
  <c r="CD628" i="2"/>
  <c r="CD627" i="2"/>
  <c r="CD626" i="2"/>
  <c r="CD625" i="2"/>
  <c r="CD624" i="2"/>
  <c r="BL629" i="2"/>
  <c r="CH621" i="2"/>
  <c r="CH629" i="2" s="1"/>
  <c r="BH637" i="2"/>
  <c r="BH629" i="2"/>
  <c r="CH620" i="2"/>
  <c r="BH628" i="2"/>
  <c r="BH636" i="2"/>
  <c r="BL628" i="2"/>
  <c r="CH619" i="2"/>
  <c r="BH635" i="2"/>
  <c r="BH627" i="2"/>
  <c r="BL627" i="2"/>
  <c r="BL626" i="2"/>
  <c r="BH634" i="2"/>
  <c r="CH618" i="2"/>
  <c r="CH626" i="2" s="1"/>
  <c r="BH626" i="2"/>
  <c r="BH625" i="2"/>
  <c r="BL625" i="2"/>
  <c r="BH633" i="2"/>
  <c r="CH617" i="2"/>
  <c r="CH625" i="2" s="1"/>
  <c r="BH632" i="2"/>
  <c r="CH616" i="2"/>
  <c r="BH624" i="2"/>
  <c r="BL624" i="2"/>
  <c r="AR637" i="2"/>
  <c r="AR629" i="2"/>
  <c r="AR628" i="2"/>
  <c r="AR636" i="2"/>
  <c r="AR635" i="2"/>
  <c r="AR627" i="2"/>
  <c r="AR634" i="2"/>
  <c r="AR626" i="2"/>
  <c r="AR625" i="2"/>
  <c r="AR633" i="2"/>
  <c r="AR632" i="2"/>
  <c r="AR652" i="2" s="1"/>
  <c r="AR624" i="2"/>
  <c r="AR648" i="2" s="1"/>
  <c r="AB637" i="2"/>
  <c r="AB629" i="2"/>
  <c r="AB628" i="2"/>
  <c r="AB636" i="2"/>
  <c r="AB635" i="2"/>
  <c r="AB627" i="2"/>
  <c r="AB634" i="2"/>
  <c r="AB626" i="2"/>
  <c r="AB625" i="2"/>
  <c r="AB633" i="2"/>
  <c r="AB632" i="2"/>
  <c r="AB624" i="2"/>
  <c r="AB648" i="2" s="1"/>
  <c r="L637" i="2"/>
  <c r="L629" i="2"/>
  <c r="L628" i="2"/>
  <c r="L636" i="2"/>
  <c r="L635" i="2"/>
  <c r="L627" i="2"/>
  <c r="L634" i="2"/>
  <c r="L626" i="2"/>
  <c r="L625" i="2"/>
  <c r="L633" i="2"/>
  <c r="L632" i="2"/>
  <c r="L624" i="2"/>
  <c r="CC629" i="2"/>
  <c r="CC628" i="2"/>
  <c r="CC627" i="2"/>
  <c r="CC626" i="2"/>
  <c r="CC625" i="2"/>
  <c r="CC624" i="2"/>
  <c r="BG637" i="2"/>
  <c r="BG629" i="2"/>
  <c r="BG628" i="2"/>
  <c r="BG636" i="2"/>
  <c r="BG635" i="2"/>
  <c r="BG627" i="2"/>
  <c r="BG634" i="2"/>
  <c r="BG626" i="2"/>
  <c r="BG625" i="2"/>
  <c r="BG633" i="2"/>
  <c r="BG632" i="2"/>
  <c r="BG624" i="2"/>
  <c r="AQ637" i="2"/>
  <c r="AQ629" i="2"/>
  <c r="AQ628" i="2"/>
  <c r="AQ636" i="2"/>
  <c r="AQ635" i="2"/>
  <c r="AQ627" i="2"/>
  <c r="AQ634" i="2"/>
  <c r="AQ626" i="2"/>
  <c r="AQ625" i="2"/>
  <c r="AQ633" i="2"/>
  <c r="AQ632" i="2"/>
  <c r="AQ624" i="2"/>
  <c r="AA637" i="2"/>
  <c r="AA629" i="2"/>
  <c r="AA628" i="2"/>
  <c r="AA636" i="2"/>
  <c r="AA635" i="2"/>
  <c r="AA627" i="2"/>
  <c r="AA634" i="2"/>
  <c r="AA626" i="2"/>
  <c r="AA625" i="2"/>
  <c r="AA633" i="2"/>
  <c r="AA632" i="2"/>
  <c r="AA624" i="2"/>
  <c r="K637" i="2"/>
  <c r="K629" i="2"/>
  <c r="K628" i="2"/>
  <c r="K636" i="2"/>
  <c r="K635" i="2"/>
  <c r="K627" i="2"/>
  <c r="K634" i="2"/>
  <c r="K626" i="2"/>
  <c r="K625" i="2"/>
  <c r="K633" i="2"/>
  <c r="K632" i="2"/>
  <c r="K652" i="2" s="1"/>
  <c r="K624" i="2"/>
  <c r="CB629" i="2"/>
  <c r="CB628" i="2"/>
  <c r="CB627" i="2"/>
  <c r="CB626" i="2"/>
  <c r="CB625" i="2"/>
  <c r="CB624" i="2"/>
  <c r="BF637" i="2"/>
  <c r="BF629" i="2"/>
  <c r="BF628" i="2"/>
  <c r="BF636" i="2"/>
  <c r="BF635" i="2"/>
  <c r="BF627" i="2"/>
  <c r="BF634" i="2"/>
  <c r="BF626" i="2"/>
  <c r="BF625" i="2"/>
  <c r="BF633" i="2"/>
  <c r="BF632" i="2"/>
  <c r="BF652" i="2" s="1"/>
  <c r="BF624" i="2"/>
  <c r="BF648" i="2" s="1"/>
  <c r="AP637" i="2"/>
  <c r="AP629" i="2"/>
  <c r="AP628" i="2"/>
  <c r="AP636" i="2"/>
  <c r="AP635" i="2"/>
  <c r="AP627" i="2"/>
  <c r="AP634" i="2"/>
  <c r="AP626" i="2"/>
  <c r="AP625" i="2"/>
  <c r="AP633" i="2"/>
  <c r="AP632" i="2"/>
  <c r="AP624" i="2"/>
  <c r="AP648" i="2" s="1"/>
  <c r="AP649" i="2" s="1"/>
  <c r="Z637" i="2"/>
  <c r="Z629" i="2"/>
  <c r="Z628" i="2"/>
  <c r="Z636" i="2"/>
  <c r="Z635" i="2"/>
  <c r="Z627" i="2"/>
  <c r="Z634" i="2"/>
  <c r="Z626" i="2"/>
  <c r="Z625" i="2"/>
  <c r="Z633" i="2"/>
  <c r="Z632" i="2"/>
  <c r="Z624" i="2"/>
  <c r="J637" i="2"/>
  <c r="J629" i="2"/>
  <c r="J628" i="2"/>
  <c r="J636" i="2"/>
  <c r="J635" i="2"/>
  <c r="J627" i="2"/>
  <c r="J634" i="2"/>
  <c r="J626" i="2"/>
  <c r="J625" i="2"/>
  <c r="J633" i="2"/>
  <c r="J632" i="2"/>
  <c r="J624" i="2"/>
  <c r="CA629" i="2"/>
  <c r="CA628" i="2"/>
  <c r="CA627" i="2"/>
  <c r="CA626" i="2"/>
  <c r="CA625" i="2"/>
  <c r="CA624" i="2"/>
  <c r="BE637" i="2"/>
  <c r="BE629" i="2"/>
  <c r="BE636" i="2"/>
  <c r="BE628" i="2"/>
  <c r="BE635" i="2"/>
  <c r="BE627" i="2"/>
  <c r="BE634" i="2"/>
  <c r="BE626" i="2"/>
  <c r="BE625" i="2"/>
  <c r="BE633" i="2"/>
  <c r="BE632" i="2"/>
  <c r="BE624" i="2"/>
  <c r="AO637" i="2"/>
  <c r="AO629" i="2"/>
  <c r="AO636" i="2"/>
  <c r="AO628" i="2"/>
  <c r="AO635" i="2"/>
  <c r="AO627" i="2"/>
  <c r="AO634" i="2"/>
  <c r="AO626" i="2"/>
  <c r="AO625" i="2"/>
  <c r="AO633" i="2"/>
  <c r="AO632" i="2"/>
  <c r="AO624" i="2"/>
  <c r="Y637" i="2"/>
  <c r="Y629" i="2"/>
  <c r="Y636" i="2"/>
  <c r="Y628" i="2"/>
  <c r="Y635" i="2"/>
  <c r="Y627" i="2"/>
  <c r="Y634" i="2"/>
  <c r="Y626" i="2"/>
  <c r="Y625" i="2"/>
  <c r="Y633" i="2"/>
  <c r="Y632" i="2"/>
  <c r="Y652" i="2" s="1"/>
  <c r="Y624" i="2"/>
  <c r="I637" i="2"/>
  <c r="I629" i="2"/>
  <c r="I636" i="2"/>
  <c r="I628" i="2"/>
  <c r="I635" i="2"/>
  <c r="I627" i="2"/>
  <c r="I634" i="2"/>
  <c r="I626" i="2"/>
  <c r="I625" i="2"/>
  <c r="I633" i="2"/>
  <c r="I632" i="2"/>
  <c r="I624" i="2"/>
  <c r="BZ629" i="2"/>
  <c r="BZ628" i="2"/>
  <c r="BZ627" i="2"/>
  <c r="BZ626" i="2"/>
  <c r="BZ625" i="2"/>
  <c r="BZ624" i="2"/>
  <c r="BZ648" i="2" s="1"/>
  <c r="BD637" i="2"/>
  <c r="BD629" i="2"/>
  <c r="BD636" i="2"/>
  <c r="BD628" i="2"/>
  <c r="BD635" i="2"/>
  <c r="BD627" i="2"/>
  <c r="BD634" i="2"/>
  <c r="BD626" i="2"/>
  <c r="BD625" i="2"/>
  <c r="BD633" i="2"/>
  <c r="BD632" i="2"/>
  <c r="BD624" i="2"/>
  <c r="BD648" i="2" s="1"/>
  <c r="AN637" i="2"/>
  <c r="AN629" i="2"/>
  <c r="AN636" i="2"/>
  <c r="AN628" i="2"/>
  <c r="AN635" i="2"/>
  <c r="AN627" i="2"/>
  <c r="AN634" i="2"/>
  <c r="AN626" i="2"/>
  <c r="AN625" i="2"/>
  <c r="AN633" i="2"/>
  <c r="AN632" i="2"/>
  <c r="AN624" i="2"/>
  <c r="X637" i="2"/>
  <c r="X629" i="2"/>
  <c r="X636" i="2"/>
  <c r="X628" i="2"/>
  <c r="X635" i="2"/>
  <c r="X627" i="2"/>
  <c r="X634" i="2"/>
  <c r="X626" i="2"/>
  <c r="X625" i="2"/>
  <c r="X633" i="2"/>
  <c r="X632" i="2"/>
  <c r="X624" i="2"/>
  <c r="H637" i="2"/>
  <c r="H629" i="2"/>
  <c r="H636" i="2"/>
  <c r="H628" i="2"/>
  <c r="H635" i="2"/>
  <c r="H627" i="2"/>
  <c r="H634" i="2"/>
  <c r="H626" i="2"/>
  <c r="H625" i="2"/>
  <c r="H633" i="2"/>
  <c r="H632" i="2"/>
  <c r="H652" i="2" s="1"/>
  <c r="H624" i="2"/>
  <c r="BY629" i="2"/>
  <c r="BY628" i="2"/>
  <c r="BY627" i="2"/>
  <c r="BY626" i="2"/>
  <c r="BY625" i="2"/>
  <c r="BY624" i="2"/>
  <c r="BC629" i="2"/>
  <c r="BC637" i="2"/>
  <c r="BC636" i="2"/>
  <c r="BC628" i="2"/>
  <c r="BC635" i="2"/>
  <c r="BC627" i="2"/>
  <c r="BC634" i="2"/>
  <c r="BC626" i="2"/>
  <c r="BC633" i="2"/>
  <c r="BC625" i="2"/>
  <c r="BC632" i="2"/>
  <c r="BC624" i="2"/>
  <c r="AM629" i="2"/>
  <c r="AM637" i="2"/>
  <c r="AM636" i="2"/>
  <c r="AM628" i="2"/>
  <c r="AM635" i="2"/>
  <c r="AM627" i="2"/>
  <c r="AM634" i="2"/>
  <c r="AM626" i="2"/>
  <c r="AM633" i="2"/>
  <c r="AM625" i="2"/>
  <c r="AM632" i="2"/>
  <c r="AM652" i="2" s="1"/>
  <c r="AM624" i="2"/>
  <c r="W629" i="2"/>
  <c r="W637" i="2"/>
  <c r="W636" i="2"/>
  <c r="W628" i="2"/>
  <c r="W635" i="2"/>
  <c r="W627" i="2"/>
  <c r="W634" i="2"/>
  <c r="W626" i="2"/>
  <c r="W633" i="2"/>
  <c r="W625" i="2"/>
  <c r="W632" i="2"/>
  <c r="W624" i="2"/>
  <c r="G637" i="2"/>
  <c r="G636" i="2"/>
  <c r="G635" i="2"/>
  <c r="G634" i="2"/>
  <c r="G633" i="2"/>
  <c r="G632" i="2"/>
  <c r="N69" i="411"/>
  <c r="X38" i="1"/>
  <c r="X39" i="1"/>
  <c r="X38" i="411"/>
  <c r="X39" i="411"/>
  <c r="X73" i="1"/>
  <c r="W77" i="1"/>
  <c r="W78" i="1"/>
  <c r="W79" i="1"/>
  <c r="W81" i="1"/>
  <c r="W80" i="1"/>
  <c r="X59" i="411"/>
  <c r="D113" i="686"/>
  <c r="D117" i="686"/>
  <c r="D114" i="686"/>
  <c r="D115" i="686"/>
  <c r="I64" i="686"/>
  <c r="I103" i="686"/>
  <c r="I104" i="686" s="1"/>
  <c r="J54" i="686"/>
  <c r="W50" i="686"/>
  <c r="J50" i="686"/>
  <c r="I56" i="686"/>
  <c r="G9" i="411"/>
  <c r="X77" i="412"/>
  <c r="F95" i="686"/>
  <c r="D95" i="411"/>
  <c r="W9" i="411"/>
  <c r="W77" i="412"/>
  <c r="E95" i="686"/>
  <c r="E96" i="686"/>
  <c r="I68" i="686"/>
  <c r="J67" i="686"/>
  <c r="W67" i="686"/>
  <c r="X32" i="1"/>
  <c r="W14" i="411"/>
  <c r="H34" i="686"/>
  <c r="H35" i="686"/>
  <c r="H37" i="686"/>
  <c r="H31" i="686"/>
  <c r="H33" i="686"/>
  <c r="X44" i="1"/>
  <c r="W71" i="412"/>
  <c r="W73" i="412" s="1"/>
  <c r="X73" i="412" s="1"/>
  <c r="E104" i="686"/>
  <c r="E58" i="686"/>
  <c r="E97" i="686"/>
  <c r="E98" i="686" s="1"/>
  <c r="E64" i="686"/>
  <c r="H104" i="686"/>
  <c r="X13" i="411"/>
  <c r="X51" i="412"/>
  <c r="X58" i="412" s="1"/>
  <c r="H98" i="686"/>
  <c r="BM641" i="2"/>
  <c r="BN641" i="2" s="1"/>
  <c r="BO641" i="2" s="1"/>
  <c r="CI641" i="2"/>
  <c r="X31" i="1"/>
  <c r="J88" i="412"/>
  <c r="W80" i="412"/>
  <c r="F70" i="686"/>
  <c r="F122" i="686"/>
  <c r="X31" i="411"/>
  <c r="K90" i="686"/>
  <c r="L90" i="686" s="1"/>
  <c r="M90" i="686" s="1"/>
  <c r="N90" i="686" s="1"/>
  <c r="O90" i="686" s="1"/>
  <c r="X90" i="686"/>
  <c r="I73" i="686"/>
  <c r="I77" i="686"/>
  <c r="W70" i="686"/>
  <c r="I74" i="686"/>
  <c r="I75" i="686"/>
  <c r="I71" i="686"/>
  <c r="I58" i="686"/>
  <c r="I92" i="686"/>
  <c r="I98" i="686" s="1"/>
  <c r="E37" i="686"/>
  <c r="E31" i="686"/>
  <c r="E33" i="686"/>
  <c r="E35" i="686"/>
  <c r="W54" i="412"/>
  <c r="W46" i="412"/>
  <c r="J102" i="686"/>
  <c r="E70" i="686"/>
  <c r="E84" i="686"/>
  <c r="E122" i="686"/>
  <c r="W81" i="412"/>
  <c r="X79" i="412"/>
  <c r="I77" i="412"/>
  <c r="H77" i="1"/>
  <c r="M69" i="1"/>
  <c r="W79" i="412"/>
  <c r="X45" i="412"/>
  <c r="X46" i="412"/>
  <c r="G77" i="1"/>
  <c r="X54" i="411"/>
  <c r="X55" i="411" s="1"/>
  <c r="D96" i="412"/>
  <c r="I113" i="686"/>
  <c r="I117" i="686"/>
  <c r="W110" i="686"/>
  <c r="I114" i="686"/>
  <c r="F77" i="1"/>
  <c r="D95" i="412"/>
  <c r="E95" i="412" s="1"/>
  <c r="H124" i="686"/>
  <c r="H125" i="686" s="1"/>
  <c r="H110" i="686"/>
  <c r="I111" i="686" s="1"/>
  <c r="X27" i="686"/>
  <c r="K27" i="686"/>
  <c r="L27" i="686" s="1"/>
  <c r="M27" i="686" s="1"/>
  <c r="N27" i="686" s="1"/>
  <c r="O27" i="686" s="1"/>
  <c r="E77" i="1"/>
  <c r="G9" i="1"/>
  <c r="D94" i="411"/>
  <c r="X78" i="412"/>
  <c r="N69" i="412"/>
  <c r="K94" i="686"/>
  <c r="J107" i="686"/>
  <c r="X94" i="686"/>
  <c r="D74" i="686"/>
  <c r="D75" i="686"/>
  <c r="H40" i="686"/>
  <c r="J14" i="686"/>
  <c r="J22" i="686" s="1"/>
  <c r="E96" i="1"/>
  <c r="E98" i="411"/>
  <c r="W78" i="412"/>
  <c r="X13" i="412"/>
  <c r="X14" i="412"/>
  <c r="CC608" i="2"/>
  <c r="BJ463" i="2"/>
  <c r="BJ462" i="2"/>
  <c r="W94" i="686"/>
  <c r="H71" i="686"/>
  <c r="D64" i="686"/>
  <c r="F34" i="686"/>
  <c r="BU641" i="2"/>
  <c r="AC463" i="2"/>
  <c r="BW439" i="2"/>
  <c r="AP440" i="2"/>
  <c r="AP439" i="2"/>
  <c r="AT439" i="2"/>
  <c r="G97" i="686"/>
  <c r="G98" i="686" s="1"/>
  <c r="AZ485" i="2"/>
  <c r="CF484" i="2"/>
  <c r="CF485" i="2" s="1"/>
  <c r="G115" i="686"/>
  <c r="H102" i="686"/>
  <c r="I101" i="686"/>
  <c r="E56" i="686"/>
  <c r="AR649" i="2"/>
  <c r="BM645" i="2"/>
  <c r="BN645" i="2" s="1"/>
  <c r="BO645" i="2" s="1"/>
  <c r="CI645" i="2"/>
  <c r="CE591" i="2"/>
  <c r="AY608" i="2"/>
  <c r="CE608" i="2" s="1"/>
  <c r="BY608" i="2"/>
  <c r="X37" i="412"/>
  <c r="G96" i="686"/>
  <c r="H92" i="686"/>
  <c r="G79" i="686"/>
  <c r="H80" i="686" s="1"/>
  <c r="H62" i="686"/>
  <c r="D56" i="686"/>
  <c r="F55" i="686"/>
  <c r="K60" i="686"/>
  <c r="I33" i="686"/>
  <c r="K10" i="686"/>
  <c r="L10" i="686" s="1"/>
  <c r="M10" i="686" s="1"/>
  <c r="N10" i="686" s="1"/>
  <c r="O10" i="686" s="1"/>
  <c r="BN643" i="2"/>
  <c r="BO643" i="2" s="1"/>
  <c r="CI643" i="2"/>
  <c r="BM642" i="2"/>
  <c r="BN642" i="2" s="1"/>
  <c r="BO642" i="2" s="1"/>
  <c r="BZ591" i="2"/>
  <c r="BZ608" i="2" s="1"/>
  <c r="G114" i="686"/>
  <c r="E55" i="686"/>
  <c r="I28" i="686"/>
  <c r="S649" i="2"/>
  <c r="CG641" i="2"/>
  <c r="CF640" i="2"/>
  <c r="E123" i="686"/>
  <c r="E119" i="686" s="1"/>
  <c r="G100" i="686"/>
  <c r="G75" i="686"/>
  <c r="H67" i="686"/>
  <c r="H68" i="686" s="1"/>
  <c r="F62" i="686"/>
  <c r="G33" i="686"/>
  <c r="H28" i="686"/>
  <c r="CB640" i="2"/>
  <c r="BX641" i="2"/>
  <c r="I9" i="412"/>
  <c r="F107" i="686"/>
  <c r="D96" i="686"/>
  <c r="H74" i="686"/>
  <c r="G67" i="686"/>
  <c r="E62" i="686"/>
  <c r="E44" i="686"/>
  <c r="F33" i="686"/>
  <c r="I31" i="686"/>
  <c r="BX640" i="2"/>
  <c r="CC599" i="2"/>
  <c r="CC606" i="2" s="1"/>
  <c r="AY494" i="2"/>
  <c r="CE493" i="2"/>
  <c r="CE494" i="2" s="1"/>
  <c r="BY457" i="2"/>
  <c r="BY459" i="2" s="1"/>
  <c r="BY455" i="2"/>
  <c r="X444" i="2"/>
  <c r="X452" i="2"/>
  <c r="H9" i="412"/>
  <c r="E100" i="686"/>
  <c r="F101" i="686" s="1"/>
  <c r="I95" i="686"/>
  <c r="G74" i="686"/>
  <c r="F67" i="686"/>
  <c r="F68" i="686" s="1"/>
  <c r="P649" i="2"/>
  <c r="W463" i="2"/>
  <c r="W462" i="2"/>
  <c r="H95" i="686"/>
  <c r="H91" i="686"/>
  <c r="I61" i="686"/>
  <c r="W54" i="686"/>
  <c r="F51" i="686"/>
  <c r="D33" i="686"/>
  <c r="G31" i="686"/>
  <c r="AK649" i="2"/>
  <c r="BI462" i="2"/>
  <c r="AD463" i="2"/>
  <c r="AD462" i="2"/>
  <c r="W122" i="686"/>
  <c r="F31" i="686"/>
  <c r="BD649" i="2"/>
  <c r="AJ649" i="2"/>
  <c r="CI629" i="2"/>
  <c r="BH608" i="2"/>
  <c r="BV591" i="2"/>
  <c r="BV608" i="2" s="1"/>
  <c r="CG549" i="2"/>
  <c r="BI463" i="2"/>
  <c r="BC463" i="2"/>
  <c r="BC462" i="2"/>
  <c r="G117" i="686"/>
  <c r="I35" i="686"/>
  <c r="K20" i="686"/>
  <c r="AF649" i="2"/>
  <c r="CG642" i="2"/>
  <c r="CC642" i="2"/>
  <c r="BU642" i="2"/>
  <c r="BM652" i="2"/>
  <c r="BM640" i="2"/>
  <c r="BN640" i="2" s="1"/>
  <c r="AU606" i="2"/>
  <c r="BY599" i="2"/>
  <c r="BY606" i="2" s="1"/>
  <c r="CG591" i="2"/>
  <c r="BG608" i="2"/>
  <c r="CG608" i="2" s="1"/>
  <c r="CG509" i="2"/>
  <c r="CG510" i="2" s="1"/>
  <c r="BE510" i="2"/>
  <c r="X32" i="412"/>
  <c r="F37" i="686"/>
  <c r="BA649" i="2"/>
  <c r="CG643" i="2"/>
  <c r="CC643" i="2"/>
  <c r="BU643" i="2"/>
  <c r="BX606" i="2"/>
  <c r="BX608" i="2" s="1"/>
  <c r="CC509" i="2"/>
  <c r="CC510" i="2" s="1"/>
  <c r="AC462" i="2"/>
  <c r="H77" i="686"/>
  <c r="W27" i="686"/>
  <c r="CH641" i="2"/>
  <c r="CI626" i="2"/>
  <c r="CG566" i="2"/>
  <c r="CF563" i="2"/>
  <c r="AZ566" i="2"/>
  <c r="CF566" i="2" s="1"/>
  <c r="N463" i="2"/>
  <c r="N462" i="2"/>
  <c r="G77" i="686"/>
  <c r="AB649" i="2"/>
  <c r="CC641" i="2"/>
  <c r="CI625" i="2"/>
  <c r="CG582" i="2"/>
  <c r="BW493" i="2"/>
  <c r="BW494" i="2" s="1"/>
  <c r="AN457" i="2"/>
  <c r="BV442" i="2"/>
  <c r="BV438" i="2"/>
  <c r="BW429" i="2"/>
  <c r="BD429" i="2"/>
  <c r="CF423" i="2"/>
  <c r="AZ442" i="2"/>
  <c r="AZ438" i="2"/>
  <c r="BD439" i="2" s="1"/>
  <c r="AZ429" i="2"/>
  <c r="AN429" i="2"/>
  <c r="AJ442" i="2"/>
  <c r="AJ438" i="2"/>
  <c r="AJ429" i="2"/>
  <c r="T442" i="2"/>
  <c r="X443" i="2" s="1"/>
  <c r="T438" i="2"/>
  <c r="D442" i="2"/>
  <c r="D444" i="2" s="1"/>
  <c r="D438" i="2"/>
  <c r="AS378" i="2"/>
  <c r="AW378" i="2"/>
  <c r="AC378" i="2"/>
  <c r="AG378" i="2"/>
  <c r="M378" i="2"/>
  <c r="Q378" i="2"/>
  <c r="CG357" i="2"/>
  <c r="K444" i="2"/>
  <c r="BT457" i="2"/>
  <c r="BT459" i="2" s="1"/>
  <c r="BT455" i="2"/>
  <c r="AQ443" i="2"/>
  <c r="AQ452" i="2"/>
  <c r="BU452" i="2"/>
  <c r="BU444" i="2"/>
  <c r="BU443" i="2"/>
  <c r="S452" i="2"/>
  <c r="S444" i="2"/>
  <c r="S443" i="2"/>
  <c r="CD440" i="2"/>
  <c r="CD439" i="2"/>
  <c r="BV371" i="2"/>
  <c r="BV378" i="2" s="1"/>
  <c r="CD376" i="2"/>
  <c r="CE376" i="2"/>
  <c r="BA641" i="2"/>
  <c r="CF641" i="2" s="1"/>
  <c r="CE582" i="2"/>
  <c r="AV462" i="2"/>
  <c r="BS452" i="2"/>
  <c r="BS444" i="2"/>
  <c r="BS443" i="2"/>
  <c r="BT443" i="2"/>
  <c r="R457" i="2"/>
  <c r="R459" i="2" s="1"/>
  <c r="R455" i="2"/>
  <c r="BT440" i="2"/>
  <c r="BT439" i="2"/>
  <c r="CC440" i="2"/>
  <c r="CC439" i="2"/>
  <c r="BG400" i="2"/>
  <c r="BC400" i="2"/>
  <c r="BV263" i="2"/>
  <c r="BV272" i="2"/>
  <c r="BV277" i="2" s="1"/>
  <c r="AJ641" i="2"/>
  <c r="CB641" i="2" s="1"/>
  <c r="CG501" i="2"/>
  <c r="CG502" i="2" s="1"/>
  <c r="I444" i="2"/>
  <c r="AO443" i="2"/>
  <c r="AO452" i="2"/>
  <c r="Q452" i="2"/>
  <c r="Q444" i="2"/>
  <c r="Q443" i="2"/>
  <c r="BI440" i="2"/>
  <c r="J440" i="2"/>
  <c r="J439" i="2"/>
  <c r="N439" i="2"/>
  <c r="CD407" i="2"/>
  <c r="AW399" i="2"/>
  <c r="BA399" i="2"/>
  <c r="BW392" i="2"/>
  <c r="BU391" i="2"/>
  <c r="CG368" i="2"/>
  <c r="CG375" i="2" s="1"/>
  <c r="BD375" i="2"/>
  <c r="BH375" i="2"/>
  <c r="AN375" i="2"/>
  <c r="AR375" i="2"/>
  <c r="X375" i="2"/>
  <c r="AB375" i="2"/>
  <c r="BY368" i="2"/>
  <c r="H375" i="2"/>
  <c r="BU368" i="2"/>
  <c r="BU375" i="2" s="1"/>
  <c r="L375" i="2"/>
  <c r="AX362" i="2"/>
  <c r="AY362" i="2"/>
  <c r="AX357" i="2"/>
  <c r="AN510" i="2"/>
  <c r="AN455" i="2"/>
  <c r="AN443" i="2"/>
  <c r="AN444" i="2"/>
  <c r="CE438" i="2"/>
  <c r="CE429" i="2"/>
  <c r="CE435" i="2"/>
  <c r="BG407" i="2"/>
  <c r="CG403" i="2"/>
  <c r="CG407" i="2" s="1"/>
  <c r="CE395" i="2"/>
  <c r="CE399" i="2" s="1"/>
  <c r="BX388" i="2"/>
  <c r="BV376" i="2"/>
  <c r="CH640" i="2"/>
  <c r="CE501" i="2"/>
  <c r="CE502" i="2" s="1"/>
  <c r="CG493" i="2"/>
  <c r="CG494" i="2" s="1"/>
  <c r="CD493" i="2"/>
  <c r="CD494" i="2" s="1"/>
  <c r="BF485" i="2"/>
  <c r="U462" i="2"/>
  <c r="BZ460" i="2"/>
  <c r="BZ463" i="2"/>
  <c r="BZ462" i="2"/>
  <c r="BF440" i="2"/>
  <c r="BJ439" i="2"/>
  <c r="AU444" i="2"/>
  <c r="AU443" i="2"/>
  <c r="AE444" i="2"/>
  <c r="AE443" i="2"/>
  <c r="O444" i="2"/>
  <c r="O443" i="2"/>
  <c r="AY408" i="2"/>
  <c r="CF396" i="2"/>
  <c r="BU378" i="2"/>
  <c r="BY376" i="2"/>
  <c r="CE337" i="2"/>
  <c r="BC608" i="2"/>
  <c r="CF608" i="2" s="1"/>
  <c r="CG563" i="2"/>
  <c r="CD501" i="2"/>
  <c r="CD502" i="2" s="1"/>
  <c r="AM463" i="2"/>
  <c r="I457" i="2"/>
  <c r="I459" i="2" s="1"/>
  <c r="W443" i="2"/>
  <c r="BG443" i="2"/>
  <c r="BG452" i="2"/>
  <c r="R439" i="2"/>
  <c r="AR392" i="2"/>
  <c r="AV392" i="2"/>
  <c r="CD385" i="2"/>
  <c r="CD392" i="2" s="1"/>
  <c r="AB392" i="2"/>
  <c r="BZ385" i="2"/>
  <c r="CA392" i="2" s="1"/>
  <c r="AF392" i="2"/>
  <c r="BV385" i="2"/>
  <c r="L392" i="2"/>
  <c r="P392" i="2"/>
  <c r="BC389" i="2"/>
  <c r="BG389" i="2"/>
  <c r="AM389" i="2"/>
  <c r="AQ389" i="2"/>
  <c r="W389" i="2"/>
  <c r="AA389" i="2"/>
  <c r="BB377" i="2"/>
  <c r="BF377" i="2"/>
  <c r="AL377" i="2"/>
  <c r="AP377" i="2"/>
  <c r="V377" i="2"/>
  <c r="Z377" i="2"/>
  <c r="BJ443" i="2"/>
  <c r="BF452" i="2"/>
  <c r="AH457" i="2"/>
  <c r="AH459" i="2" s="1"/>
  <c r="AH455" i="2"/>
  <c r="K455" i="2"/>
  <c r="K457" i="2"/>
  <c r="K459" i="2" s="1"/>
  <c r="AS439" i="2"/>
  <c r="AW439" i="2"/>
  <c r="AC439" i="2"/>
  <c r="AG439" i="2"/>
  <c r="M439" i="2"/>
  <c r="Q439" i="2"/>
  <c r="BA408" i="2"/>
  <c r="AW408" i="2"/>
  <c r="CI644" i="2"/>
  <c r="AV566" i="2"/>
  <c r="CE566" i="2" s="1"/>
  <c r="AZ510" i="2"/>
  <c r="P509" i="2"/>
  <c r="P510" i="2" s="1"/>
  <c r="CC493" i="2"/>
  <c r="CC494" i="2" s="1"/>
  <c r="CD484" i="2"/>
  <c r="CD485" i="2" s="1"/>
  <c r="AU463" i="2"/>
  <c r="U443" i="2"/>
  <c r="BE443" i="2"/>
  <c r="BE452" i="2"/>
  <c r="AG452" i="2"/>
  <c r="AG444" i="2"/>
  <c r="AG443" i="2"/>
  <c r="BH442" i="2"/>
  <c r="BH438" i="2"/>
  <c r="BH429" i="2"/>
  <c r="AR442" i="2"/>
  <c r="AR438" i="2"/>
  <c r="AR429" i="2"/>
  <c r="AV429" i="2"/>
  <c r="AB442" i="2"/>
  <c r="AB438" i="2"/>
  <c r="L442" i="2"/>
  <c r="L438" i="2"/>
  <c r="CE427" i="2"/>
  <c r="CE433" i="2"/>
  <c r="CG417" i="2"/>
  <c r="CE404" i="2"/>
  <c r="CE408" i="2" s="1"/>
  <c r="CF370" i="2"/>
  <c r="CF377" i="2" s="1"/>
  <c r="CB370" i="2"/>
  <c r="CB377" i="2" s="1"/>
  <c r="BD443" i="2"/>
  <c r="CG442" i="2"/>
  <c r="BD444" i="2"/>
  <c r="Z440" i="2"/>
  <c r="Z439" i="2"/>
  <c r="AD439" i="2"/>
  <c r="BG440" i="2"/>
  <c r="BG439" i="2"/>
  <c r="AQ440" i="2"/>
  <c r="AQ439" i="2"/>
  <c r="AA440" i="2"/>
  <c r="AA439" i="2"/>
  <c r="K440" i="2"/>
  <c r="K439" i="2"/>
  <c r="CF417" i="2"/>
  <c r="CF418" i="2"/>
  <c r="CF384" i="2"/>
  <c r="BA391" i="2"/>
  <c r="BE391" i="2"/>
  <c r="AK391" i="2"/>
  <c r="AO391" i="2"/>
  <c r="U391" i="2"/>
  <c r="BX384" i="2"/>
  <c r="BY391" i="2" s="1"/>
  <c r="Y391" i="2"/>
  <c r="AV388" i="2"/>
  <c r="CE381" i="2"/>
  <c r="CE388" i="2" s="1"/>
  <c r="AZ388" i="2"/>
  <c r="CA381" i="2"/>
  <c r="CA388" i="2" s="1"/>
  <c r="AF388" i="2"/>
  <c r="AJ388" i="2"/>
  <c r="BW381" i="2"/>
  <c r="BW388" i="2" s="1"/>
  <c r="P388" i="2"/>
  <c r="T388" i="2"/>
  <c r="AW374" i="2"/>
  <c r="BA374" i="2"/>
  <c r="AG374" i="2"/>
  <c r="AK374" i="2"/>
  <c r="Q374" i="2"/>
  <c r="U374" i="2"/>
  <c r="CC563" i="2"/>
  <c r="O463" i="2"/>
  <c r="BD452" i="2"/>
  <c r="BF444" i="2"/>
  <c r="M443" i="2"/>
  <c r="AM440" i="2"/>
  <c r="BU439" i="2"/>
  <c r="CB384" i="2"/>
  <c r="CB391" i="2" s="1"/>
  <c r="BT384" i="2"/>
  <c r="CB382" i="2"/>
  <c r="CB389" i="2" s="1"/>
  <c r="BU388" i="2"/>
  <c r="CA378" i="2"/>
  <c r="CB378" i="2"/>
  <c r="CC368" i="2"/>
  <c r="CD375" i="2" s="1"/>
  <c r="CE375" i="2"/>
  <c r="CA367" i="2"/>
  <c r="BW367" i="2"/>
  <c r="BW374" i="2" s="1"/>
  <c r="BY340" i="2"/>
  <c r="CG340" i="2"/>
  <c r="CF319" i="2"/>
  <c r="CA319" i="2"/>
  <c r="CA333" i="2"/>
  <c r="CE509" i="2"/>
  <c r="CE510" i="2" s="1"/>
  <c r="CA501" i="2"/>
  <c r="CA502" i="2" s="1"/>
  <c r="M463" i="2"/>
  <c r="AM462" i="2"/>
  <c r="BW455" i="2"/>
  <c r="W455" i="2"/>
  <c r="BE444" i="2"/>
  <c r="BI443" i="2"/>
  <c r="CC442" i="2"/>
  <c r="BS439" i="2"/>
  <c r="CB440" i="2"/>
  <c r="CB439" i="2"/>
  <c r="CF407" i="2"/>
  <c r="CA377" i="2"/>
  <c r="CD509" i="2"/>
  <c r="CD510" i="2" s="1"/>
  <c r="AK462" i="2"/>
  <c r="BR457" i="2"/>
  <c r="BR459" i="2" s="1"/>
  <c r="AF457" i="2"/>
  <c r="AF459" i="2" s="1"/>
  <c r="CB443" i="2"/>
  <c r="CB452" i="2"/>
  <c r="AX457" i="2"/>
  <c r="AX459" i="2" s="1"/>
  <c r="AX455" i="2"/>
  <c r="AA443" i="2"/>
  <c r="AA452" i="2"/>
  <c r="BR439" i="2"/>
  <c r="CA390" i="2"/>
  <c r="CE377" i="2"/>
  <c r="BZ484" i="2"/>
  <c r="BZ485" i="2" s="1"/>
  <c r="BQ457" i="2"/>
  <c r="BQ459" i="2" s="1"/>
  <c r="AE457" i="2"/>
  <c r="AE459" i="2" s="1"/>
  <c r="BJ455" i="2"/>
  <c r="U455" i="2"/>
  <c r="CA443" i="2"/>
  <c r="CA452" i="2"/>
  <c r="CA457" i="2" s="1"/>
  <c r="CA459" i="2" s="1"/>
  <c r="AW452" i="2"/>
  <c r="AW444" i="2"/>
  <c r="AW443" i="2"/>
  <c r="BZ440" i="2"/>
  <c r="BZ439" i="2"/>
  <c r="BC399" i="2"/>
  <c r="CB392" i="2"/>
  <c r="BY390" i="2"/>
  <c r="CE389" i="2"/>
  <c r="BW389" i="2"/>
  <c r="BZ388" i="2"/>
  <c r="BV388" i="2"/>
  <c r="BU377" i="2"/>
  <c r="BV375" i="2"/>
  <c r="BW375" i="2"/>
  <c r="Y443" i="2"/>
  <c r="Y452" i="2"/>
  <c r="AX439" i="2"/>
  <c r="BY439" i="2"/>
  <c r="CF427" i="2"/>
  <c r="BY429" i="2"/>
  <c r="BX438" i="2"/>
  <c r="BB429" i="2"/>
  <c r="BF429" i="2"/>
  <c r="BB442" i="2"/>
  <c r="BF443" i="2" s="1"/>
  <c r="BB438" i="2"/>
  <c r="BF439" i="2" s="1"/>
  <c r="AL429" i="2"/>
  <c r="AP429" i="2"/>
  <c r="AL442" i="2"/>
  <c r="AP443" i="2" s="1"/>
  <c r="AL438" i="2"/>
  <c r="V442" i="2"/>
  <c r="Z443" i="2" s="1"/>
  <c r="V438" i="2"/>
  <c r="F442" i="2"/>
  <c r="F444" i="2" s="1"/>
  <c r="F438" i="2"/>
  <c r="F440" i="2" s="1"/>
  <c r="CD432" i="2"/>
  <c r="CD426" i="2"/>
  <c r="AW407" i="2"/>
  <c r="CA391" i="2"/>
  <c r="AX390" i="2"/>
  <c r="AT390" i="2"/>
  <c r="AH390" i="2"/>
  <c r="AD390" i="2"/>
  <c r="R390" i="2"/>
  <c r="N390" i="2"/>
  <c r="BX378" i="2"/>
  <c r="AY376" i="2"/>
  <c r="AU376" i="2"/>
  <c r="AI376" i="2"/>
  <c r="AE376" i="2"/>
  <c r="S376" i="2"/>
  <c r="O376" i="2"/>
  <c r="BZ374" i="2"/>
  <c r="BU339" i="2"/>
  <c r="BV339" i="2"/>
  <c r="BA339" i="2"/>
  <c r="AW346" i="2"/>
  <c r="AX346" i="2"/>
  <c r="AK339" i="2"/>
  <c r="AG339" i="2"/>
  <c r="AG346" i="2"/>
  <c r="AH346" i="2"/>
  <c r="U339" i="2"/>
  <c r="Q339" i="2"/>
  <c r="Q346" i="2"/>
  <c r="R346" i="2"/>
  <c r="BE338" i="2"/>
  <c r="BI338" i="2"/>
  <c r="BE345" i="2"/>
  <c r="BF345" i="2"/>
  <c r="AO338" i="2"/>
  <c r="AP345" i="2"/>
  <c r="AS338" i="2"/>
  <c r="Y338" i="2"/>
  <c r="AC338" i="2"/>
  <c r="Y345" i="2"/>
  <c r="Z345" i="2"/>
  <c r="I338" i="2"/>
  <c r="I345" i="2"/>
  <c r="J345" i="2"/>
  <c r="M338" i="2"/>
  <c r="CD404" i="2"/>
  <c r="CD408" i="2" s="1"/>
  <c r="BB392" i="2"/>
  <c r="AL392" i="2"/>
  <c r="V392" i="2"/>
  <c r="BB388" i="2"/>
  <c r="AL388" i="2"/>
  <c r="BC378" i="2"/>
  <c r="AM378" i="2"/>
  <c r="W378" i="2"/>
  <c r="BC374" i="2"/>
  <c r="CG371" i="2"/>
  <c r="CG378" i="2" s="1"/>
  <c r="CB368" i="2"/>
  <c r="CB375" i="2" s="1"/>
  <c r="CC339" i="2"/>
  <c r="BD338" i="2"/>
  <c r="BH338" i="2"/>
  <c r="AN338" i="2"/>
  <c r="AR338" i="2"/>
  <c r="X338" i="2"/>
  <c r="AB338" i="2"/>
  <c r="H338" i="2"/>
  <c r="L338" i="2"/>
  <c r="BB276" i="2"/>
  <c r="BF276" i="2"/>
  <c r="AL276" i="2"/>
  <c r="AL272" i="2"/>
  <c r="AL277" i="2" s="1"/>
  <c r="AP276" i="2"/>
  <c r="V276" i="2"/>
  <c r="V272" i="2"/>
  <c r="V277" i="2" s="1"/>
  <c r="Z276" i="2"/>
  <c r="AQ277" i="2"/>
  <c r="AU277" i="2"/>
  <c r="AB249" i="2"/>
  <c r="AF249" i="2"/>
  <c r="AU185" i="2"/>
  <c r="AY185" i="2"/>
  <c r="AU186" i="2"/>
  <c r="AV186" i="2"/>
  <c r="AE186" i="2"/>
  <c r="AF186" i="2"/>
  <c r="AI185" i="2"/>
  <c r="BZ106" i="2"/>
  <c r="BZ95" i="2"/>
  <c r="BJ337" i="2"/>
  <c r="BJ344" i="2"/>
  <c r="AT337" i="2"/>
  <c r="AT344" i="2"/>
  <c r="AU344" i="2"/>
  <c r="AD337" i="2"/>
  <c r="AD344" i="2"/>
  <c r="AE344" i="2"/>
  <c r="N337" i="2"/>
  <c r="N344" i="2"/>
  <c r="O344" i="2"/>
  <c r="AP282" i="2"/>
  <c r="BH249" i="2"/>
  <c r="BH243" i="2"/>
  <c r="AR249" i="2"/>
  <c r="AV249" i="2"/>
  <c r="AR243" i="2"/>
  <c r="AQ235" i="2"/>
  <c r="AU235" i="2"/>
  <c r="AA235" i="2"/>
  <c r="AE235" i="2"/>
  <c r="AA242" i="2"/>
  <c r="K235" i="2"/>
  <c r="O235" i="2"/>
  <c r="K242" i="2"/>
  <c r="BY234" i="2"/>
  <c r="BZ234" i="2"/>
  <c r="BW228" i="2"/>
  <c r="BW233" i="2"/>
  <c r="BU232" i="2"/>
  <c r="BV232" i="2"/>
  <c r="BU228" i="2"/>
  <c r="BV235" i="2" s="1"/>
  <c r="CC206" i="2"/>
  <c r="CD206" i="2"/>
  <c r="CC221" i="2"/>
  <c r="AQ221" i="2"/>
  <c r="AA206" i="2"/>
  <c r="AA221" i="2"/>
  <c r="AR390" i="2"/>
  <c r="AB390" i="2"/>
  <c r="L390" i="2"/>
  <c r="BW384" i="2"/>
  <c r="BW391" i="2" s="1"/>
  <c r="CF383" i="2"/>
  <c r="CF390" i="2" s="1"/>
  <c r="AS376" i="2"/>
  <c r="AC376" i="2"/>
  <c r="M376" i="2"/>
  <c r="CE371" i="2"/>
  <c r="CE378" i="2" s="1"/>
  <c r="BX370" i="2"/>
  <c r="BY377" i="2" s="1"/>
  <c r="BZ368" i="2"/>
  <c r="BZ375" i="2" s="1"/>
  <c r="BE362" i="2"/>
  <c r="AO362" i="2"/>
  <c r="F347" i="2"/>
  <c r="W340" i="2"/>
  <c r="BI337" i="2"/>
  <c r="BI344" i="2"/>
  <c r="AS337" i="2"/>
  <c r="AS344" i="2"/>
  <c r="AW337" i="2"/>
  <c r="AC337" i="2"/>
  <c r="AC344" i="2"/>
  <c r="AG337" i="2"/>
  <c r="M337" i="2"/>
  <c r="M344" i="2"/>
  <c r="Q337" i="2"/>
  <c r="U282" i="2"/>
  <c r="CB271" i="2"/>
  <c r="BV242" i="2"/>
  <c r="AY440" i="2"/>
  <c r="AI440" i="2"/>
  <c r="S440" i="2"/>
  <c r="CC426" i="2"/>
  <c r="AZ400" i="2"/>
  <c r="BC391" i="2"/>
  <c r="AM391" i="2"/>
  <c r="W391" i="2"/>
  <c r="AQ390" i="2"/>
  <c r="AY388" i="2"/>
  <c r="AI388" i="2"/>
  <c r="S388" i="2"/>
  <c r="CC385" i="2"/>
  <c r="CC392" i="2" s="1"/>
  <c r="BV384" i="2"/>
  <c r="BV391" i="2" s="1"/>
  <c r="BX382" i="2"/>
  <c r="CG381" i="2"/>
  <c r="CG388" i="2" s="1"/>
  <c r="BD377" i="2"/>
  <c r="AN377" i="2"/>
  <c r="X377" i="2"/>
  <c r="H377" i="2"/>
  <c r="AR376" i="2"/>
  <c r="L376" i="2"/>
  <c r="AZ374" i="2"/>
  <c r="AJ374" i="2"/>
  <c r="T374" i="2"/>
  <c r="CD371" i="2"/>
  <c r="CD378" i="2" s="1"/>
  <c r="BW370" i="2"/>
  <c r="BW377" i="2" s="1"/>
  <c r="CF369" i="2"/>
  <c r="CF376" i="2" s="1"/>
  <c r="BD362" i="2"/>
  <c r="E347" i="2"/>
  <c r="AM346" i="2"/>
  <c r="AT277" i="2"/>
  <c r="AP452" i="2"/>
  <c r="CC452" i="2" s="1"/>
  <c r="CC455" i="2" s="1"/>
  <c r="Z452" i="2"/>
  <c r="J452" i="2"/>
  <c r="AX443" i="2"/>
  <c r="AH443" i="2"/>
  <c r="R443" i="2"/>
  <c r="AH392" i="2"/>
  <c r="BB391" i="2"/>
  <c r="AL391" i="2"/>
  <c r="V391" i="2"/>
  <c r="AX388" i="2"/>
  <c r="AH388" i="2"/>
  <c r="R388" i="2"/>
  <c r="CD383" i="2"/>
  <c r="AI378" i="2"/>
  <c r="S378" i="2"/>
  <c r="BC377" i="2"/>
  <c r="AM377" i="2"/>
  <c r="W377" i="2"/>
  <c r="AY374" i="2"/>
  <c r="AI374" i="2"/>
  <c r="S374" i="2"/>
  <c r="CC371" i="2"/>
  <c r="CC378" i="2" s="1"/>
  <c r="BX368" i="2"/>
  <c r="BX375" i="2" s="1"/>
  <c r="CG367" i="2"/>
  <c r="CG374" i="2" s="1"/>
  <c r="AW357" i="2"/>
  <c r="X347" i="2"/>
  <c r="AQ339" i="2"/>
  <c r="R339" i="2"/>
  <c r="BX338" i="2"/>
  <c r="AZ345" i="2"/>
  <c r="BA345" i="2"/>
  <c r="AJ345" i="2"/>
  <c r="AK345" i="2"/>
  <c r="T345" i="2"/>
  <c r="U345" i="2"/>
  <c r="BY319" i="2"/>
  <c r="AO277" i="2"/>
  <c r="CF235" i="2"/>
  <c r="BZ219" i="2"/>
  <c r="BZ204" i="2"/>
  <c r="CA204" i="2"/>
  <c r="BZ199" i="2"/>
  <c r="BD204" i="2"/>
  <c r="CG197" i="2"/>
  <c r="CG204" i="2" s="1"/>
  <c r="BH204" i="2"/>
  <c r="BD199" i="2"/>
  <c r="AN219" i="2"/>
  <c r="AN204" i="2"/>
  <c r="AR204" i="2"/>
  <c r="AN199" i="2"/>
  <c r="AU429" i="2"/>
  <c r="CE396" i="2"/>
  <c r="CE400" i="2" s="1"/>
  <c r="M389" i="2"/>
  <c r="AW388" i="2"/>
  <c r="N375" i="2"/>
  <c r="AV357" i="2"/>
  <c r="AQ340" i="2"/>
  <c r="AY345" i="2"/>
  <c r="AY338" i="2"/>
  <c r="AI345" i="2"/>
  <c r="AI338" i="2"/>
  <c r="S345" i="2"/>
  <c r="S338" i="2"/>
  <c r="BU319" i="2"/>
  <c r="J206" i="2"/>
  <c r="J221" i="2"/>
  <c r="BG408" i="2"/>
  <c r="AW400" i="2"/>
  <c r="CD396" i="2"/>
  <c r="CD400" i="2" s="1"/>
  <c r="BD390" i="2"/>
  <c r="AN390" i="2"/>
  <c r="X390" i="2"/>
  <c r="H390" i="2"/>
  <c r="CB383" i="2"/>
  <c r="CB390" i="2" s="1"/>
  <c r="BE376" i="2"/>
  <c r="AO376" i="2"/>
  <c r="Y376" i="2"/>
  <c r="CE367" i="2"/>
  <c r="CE374" i="2" s="1"/>
  <c r="AU357" i="2"/>
  <c r="P346" i="2"/>
  <c r="P339" i="2"/>
  <c r="BF346" i="2"/>
  <c r="BG346" i="2"/>
  <c r="AP346" i="2"/>
  <c r="AQ346" i="2"/>
  <c r="Z346" i="2"/>
  <c r="AA346" i="2"/>
  <c r="J346" i="2"/>
  <c r="K346" i="2"/>
  <c r="BI211" i="2"/>
  <c r="BI219" i="2"/>
  <c r="BI214" i="2"/>
  <c r="BR443" i="2"/>
  <c r="AY442" i="2"/>
  <c r="AI442" i="2"/>
  <c r="BI429" i="2"/>
  <c r="AS429" i="2"/>
  <c r="AU392" i="2"/>
  <c r="AE392" i="2"/>
  <c r="O392" i="2"/>
  <c r="BY385" i="2"/>
  <c r="BY392" i="2" s="1"/>
  <c r="BT382" i="2"/>
  <c r="BU389" i="2" s="1"/>
  <c r="CC381" i="2"/>
  <c r="CC388" i="2" s="1"/>
  <c r="AZ377" i="2"/>
  <c r="AJ377" i="2"/>
  <c r="X376" i="2"/>
  <c r="H376" i="2"/>
  <c r="AF374" i="2"/>
  <c r="P374" i="2"/>
  <c r="BZ371" i="2"/>
  <c r="BZ378" i="2" s="1"/>
  <c r="CB369" i="2"/>
  <c r="CD367" i="2"/>
  <c r="CD374" i="2" s="1"/>
  <c r="AZ362" i="2"/>
  <c r="BJ357" i="2"/>
  <c r="AT357" i="2"/>
  <c r="U347" i="2"/>
  <c r="BC346" i="2"/>
  <c r="O346" i="2"/>
  <c r="AQ344" i="2"/>
  <c r="BI343" i="2"/>
  <c r="AN340" i="2"/>
  <c r="O339" i="2"/>
  <c r="AY337" i="2"/>
  <c r="AH340" i="2"/>
  <c r="Q340" i="2"/>
  <c r="BE346" i="2"/>
  <c r="AO346" i="2"/>
  <c r="BH336" i="2"/>
  <c r="AR336" i="2"/>
  <c r="AB336" i="2"/>
  <c r="L336" i="2"/>
  <c r="BF277" i="2"/>
  <c r="BJ277" i="2"/>
  <c r="BH216" i="2"/>
  <c r="BH221" i="2"/>
  <c r="AT443" i="2"/>
  <c r="AD443" i="2"/>
  <c r="BE439" i="2"/>
  <c r="AO439" i="2"/>
  <c r="Y439" i="2"/>
  <c r="I439" i="2"/>
  <c r="AV407" i="2"/>
  <c r="BB399" i="2"/>
  <c r="BJ392" i="2"/>
  <c r="AT392" i="2"/>
  <c r="AD392" i="2"/>
  <c r="N392" i="2"/>
  <c r="BF389" i="2"/>
  <c r="AP389" i="2"/>
  <c r="Z389" i="2"/>
  <c r="BZ383" i="2"/>
  <c r="BZ390" i="2" s="1"/>
  <c r="AU378" i="2"/>
  <c r="AE378" i="2"/>
  <c r="O378" i="2"/>
  <c r="BG375" i="2"/>
  <c r="AQ375" i="2"/>
  <c r="AA375" i="2"/>
  <c r="CC367" i="2"/>
  <c r="CC374" i="2" s="1"/>
  <c r="BI357" i="2"/>
  <c r="AS357" i="2"/>
  <c r="AN347" i="2"/>
  <c r="N346" i="2"/>
  <c r="H345" i="2"/>
  <c r="BC338" i="2"/>
  <c r="AX337" i="2"/>
  <c r="AE336" i="2"/>
  <c r="BZ333" i="2"/>
  <c r="BZ340" i="2" s="1"/>
  <c r="P340" i="2"/>
  <c r="P347" i="2"/>
  <c r="Q347" i="2"/>
  <c r="BD346" i="2"/>
  <c r="AN346" i="2"/>
  <c r="X346" i="2"/>
  <c r="H346" i="2"/>
  <c r="BU263" i="2"/>
  <c r="BU272" i="2"/>
  <c r="BU277" i="2" s="1"/>
  <c r="AY263" i="2"/>
  <c r="BC263" i="2"/>
  <c r="AY272" i="2"/>
  <c r="AY277" i="2" s="1"/>
  <c r="AI263" i="2"/>
  <c r="AM263" i="2"/>
  <c r="S263" i="2"/>
  <c r="W263" i="2"/>
  <c r="CE256" i="2"/>
  <c r="CE261" i="2"/>
  <c r="CC260" i="2"/>
  <c r="CD260" i="2"/>
  <c r="CA259" i="2"/>
  <c r="CB259" i="2"/>
  <c r="BT242" i="2"/>
  <c r="BT249" i="2" s="1"/>
  <c r="BT235" i="2"/>
  <c r="BJ216" i="2"/>
  <c r="BG216" i="2"/>
  <c r="BG221" i="2"/>
  <c r="Z206" i="2"/>
  <c r="Z221" i="2"/>
  <c r="BZ369" i="2"/>
  <c r="AF347" i="2"/>
  <c r="AG347" i="2"/>
  <c r="O340" i="2"/>
  <c r="O347" i="2"/>
  <c r="AC277" i="2"/>
  <c r="AG277" i="2"/>
  <c r="CA239" i="2"/>
  <c r="AI246" i="2"/>
  <c r="AM246" i="2"/>
  <c r="S249" i="2"/>
  <c r="W249" i="2"/>
  <c r="BD216" i="2"/>
  <c r="CG211" i="2"/>
  <c r="BD221" i="2"/>
  <c r="AN216" i="2"/>
  <c r="AN221" i="2"/>
  <c r="AR216" i="2"/>
  <c r="X216" i="2"/>
  <c r="X221" i="2"/>
  <c r="AB216" i="2"/>
  <c r="H216" i="2"/>
  <c r="H221" i="2"/>
  <c r="L216" i="2"/>
  <c r="BF216" i="2"/>
  <c r="BF221" i="2"/>
  <c r="BJ407" i="2"/>
  <c r="AZ399" i="2"/>
  <c r="T390" i="2"/>
  <c r="BD389" i="2"/>
  <c r="AN389" i="2"/>
  <c r="X389" i="2"/>
  <c r="BE375" i="2"/>
  <c r="AO375" i="2"/>
  <c r="Y375" i="2"/>
  <c r="AF346" i="2"/>
  <c r="AK340" i="2"/>
  <c r="BF339" i="2"/>
  <c r="K339" i="2"/>
  <c r="R337" i="2"/>
  <c r="BX333" i="2"/>
  <c r="AV347" i="2"/>
  <c r="AW347" i="2"/>
  <c r="AE340" i="2"/>
  <c r="AE347" i="2"/>
  <c r="N340" i="2"/>
  <c r="N347" i="2"/>
  <c r="CA339" i="2"/>
  <c r="BA298" i="2"/>
  <c r="BA305" i="2"/>
  <c r="BB305" i="2"/>
  <c r="BE298" i="2"/>
  <c r="AL306" i="2"/>
  <c r="AK298" i="2"/>
  <c r="AK305" i="2"/>
  <c r="AL305" i="2"/>
  <c r="AO298" i="2"/>
  <c r="U298" i="2"/>
  <c r="U305" i="2"/>
  <c r="V305" i="2"/>
  <c r="Y298" i="2"/>
  <c r="E305" i="2"/>
  <c r="F305" i="2"/>
  <c r="I298" i="2"/>
  <c r="CG331" i="2"/>
  <c r="CG296" i="2"/>
  <c r="CC291" i="2"/>
  <c r="CC294" i="2"/>
  <c r="CD294" i="2"/>
  <c r="CC329" i="2"/>
  <c r="CC336" i="2" s="1"/>
  <c r="BS282" i="2"/>
  <c r="BS281" i="2"/>
  <c r="AW282" i="2"/>
  <c r="AW281" i="2"/>
  <c r="K282" i="2"/>
  <c r="K281" i="2"/>
  <c r="BC277" i="2"/>
  <c r="AF277" i="2"/>
  <c r="N277" i="2"/>
  <c r="CG249" i="2"/>
  <c r="BE216" i="2"/>
  <c r="BE221" i="2"/>
  <c r="BR444" i="2"/>
  <c r="AV444" i="2"/>
  <c r="AF444" i="2"/>
  <c r="P444" i="2"/>
  <c r="BU385" i="2"/>
  <c r="BU392" i="2" s="1"/>
  <c r="CD384" i="2"/>
  <c r="CD391" i="2" s="1"/>
  <c r="CF382" i="2"/>
  <c r="CF389" i="2" s="1"/>
  <c r="BY381" i="2"/>
  <c r="BY388" i="2" s="1"/>
  <c r="L378" i="2"/>
  <c r="AV377" i="2"/>
  <c r="T376" i="2"/>
  <c r="AB374" i="2"/>
  <c r="AK347" i="2"/>
  <c r="AE346" i="2"/>
  <c r="M343" i="2"/>
  <c r="BG340" i="2"/>
  <c r="AJ340" i="2"/>
  <c r="AF339" i="2"/>
  <c r="J339" i="2"/>
  <c r="AZ338" i="2"/>
  <c r="AU340" i="2"/>
  <c r="AU347" i="2"/>
  <c r="AD340" i="2"/>
  <c r="AD347" i="2"/>
  <c r="BD343" i="2"/>
  <c r="BE343" i="2"/>
  <c r="AN343" i="2"/>
  <c r="AO343" i="2"/>
  <c r="X343" i="2"/>
  <c r="Y343" i="2"/>
  <c r="H343" i="2"/>
  <c r="I343" i="2"/>
  <c r="CB333" i="2"/>
  <c r="CB340" i="2" s="1"/>
  <c r="CB298" i="2"/>
  <c r="CA241" i="2"/>
  <c r="AI248" i="2"/>
  <c r="AM248" i="2"/>
  <c r="Q249" i="2"/>
  <c r="U249" i="2"/>
  <c r="BD219" i="2"/>
  <c r="BS221" i="2"/>
  <c r="BS206" i="2"/>
  <c r="AW221" i="2"/>
  <c r="AW206" i="2"/>
  <c r="BA206" i="2"/>
  <c r="AR407" i="2"/>
  <c r="BV383" i="2"/>
  <c r="BV390" i="2" s="1"/>
  <c r="BD347" i="2"/>
  <c r="AD346" i="2"/>
  <c r="X345" i="2"/>
  <c r="BF340" i="2"/>
  <c r="AE339" i="2"/>
  <c r="W338" i="2"/>
  <c r="AT340" i="2"/>
  <c r="AT347" i="2"/>
  <c r="BC343" i="2"/>
  <c r="BG336" i="2"/>
  <c r="AM343" i="2"/>
  <c r="AQ336" i="2"/>
  <c r="W343" i="2"/>
  <c r="AA336" i="2"/>
  <c r="G343" i="2"/>
  <c r="K336" i="2"/>
  <c r="BB319" i="2"/>
  <c r="BB326" i="2"/>
  <c r="BC326" i="2"/>
  <c r="AL319" i="2"/>
  <c r="AL326" i="2"/>
  <c r="AM326" i="2"/>
  <c r="V319" i="2"/>
  <c r="V326" i="2"/>
  <c r="W326" i="2"/>
  <c r="F326" i="2"/>
  <c r="G326" i="2"/>
  <c r="CG316" i="2"/>
  <c r="CF330" i="2"/>
  <c r="CD315" i="2"/>
  <c r="CE315" i="2"/>
  <c r="CD329" i="2"/>
  <c r="CE333" i="2"/>
  <c r="Y277" i="2"/>
  <c r="CE249" i="2"/>
  <c r="CB206" i="2"/>
  <c r="CB221" i="2"/>
  <c r="CE442" i="2"/>
  <c r="BC347" i="2"/>
  <c r="AK344" i="2"/>
  <c r="AE343" i="2"/>
  <c r="AW336" i="2"/>
  <c r="W336" i="2"/>
  <c r="BJ340" i="2"/>
  <c r="BJ347" i="2"/>
  <c r="BB343" i="2"/>
  <c r="AL343" i="2"/>
  <c r="F343" i="2"/>
  <c r="BZ298" i="2"/>
  <c r="BW281" i="2"/>
  <c r="BW282" i="2" s="1"/>
  <c r="X277" i="2"/>
  <c r="CF261" i="2"/>
  <c r="L249" i="2"/>
  <c r="P249" i="2"/>
  <c r="CF219" i="2"/>
  <c r="CF214" i="2"/>
  <c r="CA206" i="2"/>
  <c r="AU206" i="2"/>
  <c r="AY206" i="2"/>
  <c r="AE206" i="2"/>
  <c r="AI206" i="2"/>
  <c r="O206" i="2"/>
  <c r="S206" i="2"/>
  <c r="AV346" i="2"/>
  <c r="AJ344" i="2"/>
  <c r="AD343" i="2"/>
  <c r="AX339" i="2"/>
  <c r="CD338" i="2"/>
  <c r="BT318" i="2"/>
  <c r="AZ326" i="2"/>
  <c r="BA326" i="2"/>
  <c r="BD319" i="2"/>
  <c r="AJ326" i="2"/>
  <c r="AK326" i="2"/>
  <c r="AN319" i="2"/>
  <c r="T326" i="2"/>
  <c r="U326" i="2"/>
  <c r="X319" i="2"/>
  <c r="E326" i="2"/>
  <c r="H319" i="2"/>
  <c r="CF331" i="2"/>
  <c r="CF338" i="2" s="1"/>
  <c r="CF317" i="2"/>
  <c r="CG317" i="2"/>
  <c r="CD330" i="2"/>
  <c r="CD337" i="2" s="1"/>
  <c r="CE316" i="2"/>
  <c r="CB312" i="2"/>
  <c r="CB319" i="2" s="1"/>
  <c r="CB315" i="2"/>
  <c r="CC315" i="2"/>
  <c r="BY276" i="2"/>
  <c r="CB247" i="2"/>
  <c r="BZ216" i="2"/>
  <c r="CA216" i="2"/>
  <c r="BZ221" i="2"/>
  <c r="AP206" i="2"/>
  <c r="AP221" i="2"/>
  <c r="BJ206" i="2"/>
  <c r="BJ221" i="2"/>
  <c r="AT206" i="2"/>
  <c r="AT221" i="2"/>
  <c r="AD206" i="2"/>
  <c r="AD221" i="2"/>
  <c r="N206" i="2"/>
  <c r="N221" i="2"/>
  <c r="BT315" i="2"/>
  <c r="CD295" i="2"/>
  <c r="CA272" i="2"/>
  <c r="AU176" i="2"/>
  <c r="AU177" i="2"/>
  <c r="BG107" i="2"/>
  <c r="AW107" i="2"/>
  <c r="S107" i="2"/>
  <c r="CG103" i="2"/>
  <c r="BT82" i="2"/>
  <c r="BT98" i="2" s="1"/>
  <c r="BT99" i="2" s="1"/>
  <c r="BT105" i="2" s="1"/>
  <c r="CA228" i="2"/>
  <c r="CA235" i="2" s="1"/>
  <c r="BK139" i="2"/>
  <c r="BO125" i="2"/>
  <c r="BK148" i="2"/>
  <c r="AU139" i="2"/>
  <c r="AU148" i="2"/>
  <c r="AU130" i="2"/>
  <c r="AV148" i="2"/>
  <c r="BC139" i="2"/>
  <c r="AY163" i="2"/>
  <c r="AY130" i="2"/>
  <c r="AE139" i="2"/>
  <c r="AE148" i="2"/>
  <c r="AE130" i="2"/>
  <c r="AF148" i="2"/>
  <c r="AM139" i="2"/>
  <c r="AI163" i="2"/>
  <c r="AI130" i="2"/>
  <c r="O139" i="2"/>
  <c r="O148" i="2"/>
  <c r="O130" i="2"/>
  <c r="P148" i="2"/>
  <c r="W139" i="2"/>
  <c r="S163" i="2"/>
  <c r="S130" i="2"/>
  <c r="CE139" i="2"/>
  <c r="CC130" i="2"/>
  <c r="BY106" i="2"/>
  <c r="CE106" i="2"/>
  <c r="AV107" i="2"/>
  <c r="AZ107" i="2"/>
  <c r="L107" i="2"/>
  <c r="BW312" i="2"/>
  <c r="BX319" i="2" s="1"/>
  <c r="BY272" i="2"/>
  <c r="CG246" i="2"/>
  <c r="CB232" i="2"/>
  <c r="BR216" i="2"/>
  <c r="BY199" i="2"/>
  <c r="BC199" i="2"/>
  <c r="BG206" i="2" s="1"/>
  <c r="AM199" i="2"/>
  <c r="AQ206" i="2" s="1"/>
  <c r="AH185" i="2"/>
  <c r="CB143" i="2"/>
  <c r="BE107" i="2"/>
  <c r="BV312" i="2"/>
  <c r="BC298" i="2"/>
  <c r="AM298" i="2"/>
  <c r="W298" i="2"/>
  <c r="BU291" i="2"/>
  <c r="AO276" i="2"/>
  <c r="Y276" i="2"/>
  <c r="N275" i="2"/>
  <c r="CD263" i="2"/>
  <c r="BG263" i="2"/>
  <c r="AQ263" i="2"/>
  <c r="K263" i="2"/>
  <c r="CG256" i="2"/>
  <c r="S235" i="2"/>
  <c r="BY228" i="2"/>
  <c r="BH214" i="2"/>
  <c r="BU206" i="2"/>
  <c r="BS204" i="2"/>
  <c r="CG202" i="2"/>
  <c r="BX199" i="2"/>
  <c r="BB199" i="2"/>
  <c r="BF206" i="2" s="1"/>
  <c r="AR177" i="2"/>
  <c r="CB106" i="2"/>
  <c r="AK107" i="2"/>
  <c r="Q107" i="2"/>
  <c r="I10" i="832"/>
  <c r="BB106" i="2"/>
  <c r="BB95" i="2"/>
  <c r="CC90" i="2"/>
  <c r="AO95" i="2"/>
  <c r="AO106" i="2"/>
  <c r="Y95" i="2"/>
  <c r="Y106" i="2"/>
  <c r="AC107" i="2" s="1"/>
  <c r="I95" i="2"/>
  <c r="I106" i="2"/>
  <c r="BU90" i="2"/>
  <c r="K50" i="2"/>
  <c r="BR281" i="2"/>
  <c r="BR282" i="2" s="1"/>
  <c r="AV281" i="2"/>
  <c r="AV282" i="2" s="1"/>
  <c r="BD276" i="2"/>
  <c r="AN276" i="2"/>
  <c r="X276" i="2"/>
  <c r="BW272" i="2"/>
  <c r="CC263" i="2"/>
  <c r="CF256" i="2"/>
  <c r="AZ249" i="2"/>
  <c r="AJ249" i="2"/>
  <c r="BG243" i="2"/>
  <c r="AQ243" i="2"/>
  <c r="CG231" i="2"/>
  <c r="BX228" i="2"/>
  <c r="BG214" i="2"/>
  <c r="CG210" i="2"/>
  <c r="BL139" i="2"/>
  <c r="BL148" i="2"/>
  <c r="BZ130" i="2"/>
  <c r="CF112" i="2"/>
  <c r="BD107" i="2"/>
  <c r="BH107" i="2"/>
  <c r="AA107" i="2"/>
  <c r="P107" i="2"/>
  <c r="T107" i="2"/>
  <c r="CD103" i="2"/>
  <c r="BY90" i="2"/>
  <c r="BY95" i="2" s="1"/>
  <c r="BT312" i="2"/>
  <c r="AZ305" i="2"/>
  <c r="AJ305" i="2"/>
  <c r="T305" i="2"/>
  <c r="CG281" i="2"/>
  <c r="CG282" i="2" s="1"/>
  <c r="BQ281" i="2"/>
  <c r="BQ282" i="2" s="1"/>
  <c r="AU281" i="2"/>
  <c r="AU282" i="2" s="1"/>
  <c r="AJ272" i="2"/>
  <c r="T272" i="2"/>
  <c r="AI247" i="2"/>
  <c r="AI245" i="2"/>
  <c r="BF243" i="2"/>
  <c r="AP243" i="2"/>
  <c r="Q235" i="2"/>
  <c r="CF231" i="2"/>
  <c r="BJ204" i="2"/>
  <c r="AT204" i="2"/>
  <c r="AD204" i="2"/>
  <c r="N204" i="2"/>
  <c r="BE185" i="2"/>
  <c r="BE186" i="2"/>
  <c r="AO185" i="2"/>
  <c r="AO186" i="2"/>
  <c r="CE171" i="2"/>
  <c r="CE172" i="2" s="1"/>
  <c r="CF171" i="2"/>
  <c r="CG172" i="2" s="1"/>
  <c r="CE169" i="2"/>
  <c r="CF169" i="2"/>
  <c r="BY139" i="2"/>
  <c r="BW95" i="2"/>
  <c r="BW106" i="2"/>
  <c r="AM107" i="2"/>
  <c r="W107" i="2"/>
  <c r="BT93" i="2"/>
  <c r="AY305" i="2"/>
  <c r="AI305" i="2"/>
  <c r="S305" i="2"/>
  <c r="BE243" i="2"/>
  <c r="AO243" i="2"/>
  <c r="CA238" i="2"/>
  <c r="BS235" i="2"/>
  <c r="AS181" i="2"/>
  <c r="AS180" i="2"/>
  <c r="BJ172" i="2"/>
  <c r="BJ173" i="2"/>
  <c r="BK173" i="2"/>
  <c r="BN172" i="2"/>
  <c r="AT172" i="2"/>
  <c r="AT173" i="2"/>
  <c r="AX172" i="2"/>
  <c r="AD173" i="2"/>
  <c r="AH172" i="2"/>
  <c r="CD171" i="2"/>
  <c r="BF119" i="2"/>
  <c r="AP119" i="2"/>
  <c r="Z119" i="2"/>
  <c r="BU106" i="2"/>
  <c r="BX476" i="2"/>
  <c r="BX298" i="2"/>
  <c r="AY298" i="2"/>
  <c r="CB294" i="2"/>
  <c r="CC171" i="2"/>
  <c r="CC172" i="2" s="1"/>
  <c r="CC169" i="2"/>
  <c r="CD106" i="2"/>
  <c r="AS107" i="2"/>
  <c r="AX99" i="2"/>
  <c r="AX100" i="2" s="1"/>
  <c r="AX93" i="2"/>
  <c r="CA294" i="2"/>
  <c r="M277" i="2"/>
  <c r="AJ276" i="2"/>
  <c r="BS272" i="2"/>
  <c r="BS277" i="2" s="1"/>
  <c r="AW272" i="2"/>
  <c r="BB263" i="2"/>
  <c r="AL263" i="2"/>
  <c r="V263" i="2"/>
  <c r="AI242" i="2"/>
  <c r="BJ235" i="2"/>
  <c r="AT235" i="2"/>
  <c r="AD235" i="2"/>
  <c r="N235" i="2"/>
  <c r="BG204" i="2"/>
  <c r="AQ204" i="2"/>
  <c r="AG199" i="2"/>
  <c r="Q199" i="2"/>
  <c r="AT186" i="2"/>
  <c r="AX185" i="2"/>
  <c r="X107" i="2"/>
  <c r="AB107" i="2"/>
  <c r="BT104" i="2"/>
  <c r="CF103" i="2"/>
  <c r="BX106" i="2"/>
  <c r="CF296" i="2"/>
  <c r="CA256" i="2"/>
  <c r="BE143" i="2"/>
  <c r="BI143" i="2"/>
  <c r="AO143" i="2"/>
  <c r="AS143" i="2"/>
  <c r="Y143" i="2"/>
  <c r="AC143" i="2"/>
  <c r="Q99" i="2"/>
  <c r="Q100" i="2" s="1"/>
  <c r="Q93" i="2"/>
  <c r="AQ83" i="2"/>
  <c r="AQ85" i="2" s="1"/>
  <c r="BB336" i="2"/>
  <c r="AL336" i="2"/>
  <c r="V336" i="2"/>
  <c r="BH333" i="2"/>
  <c r="AR333" i="2"/>
  <c r="AV340" i="2" s="1"/>
  <c r="AB333" i="2"/>
  <c r="L333" i="2"/>
  <c r="BZ332" i="2"/>
  <c r="BZ339" i="2" s="1"/>
  <c r="AV326" i="2"/>
  <c r="AF326" i="2"/>
  <c r="P326" i="2"/>
  <c r="BZ315" i="2"/>
  <c r="AU305" i="2"/>
  <c r="AE305" i="2"/>
  <c r="O305" i="2"/>
  <c r="BY294" i="2"/>
  <c r="CD291" i="2"/>
  <c r="CE298" i="2" s="1"/>
  <c r="CB281" i="2"/>
  <c r="CB282" i="2" s="1"/>
  <c r="BF281" i="2"/>
  <c r="BF282" i="2" s="1"/>
  <c r="AP281" i="2"/>
  <c r="J281" i="2"/>
  <c r="J282" i="2" s="1"/>
  <c r="AX276" i="2"/>
  <c r="AH276" i="2"/>
  <c r="R276" i="2"/>
  <c r="AE272" i="2"/>
  <c r="O272" i="2"/>
  <c r="AZ263" i="2"/>
  <c r="AJ263" i="2"/>
  <c r="T263" i="2"/>
  <c r="BJ249" i="2"/>
  <c r="AT249" i="2"/>
  <c r="AD249" i="2"/>
  <c r="N249" i="2"/>
  <c r="CG245" i="2"/>
  <c r="BH235" i="2"/>
  <c r="AR235" i="2"/>
  <c r="AB235" i="2"/>
  <c r="L235" i="2"/>
  <c r="BH219" i="2"/>
  <c r="AQ186" i="2"/>
  <c r="CD163" i="2"/>
  <c r="CF106" i="2"/>
  <c r="AQ107" i="2"/>
  <c r="AG107" i="2"/>
  <c r="M107" i="2"/>
  <c r="N99" i="2"/>
  <c r="N100" i="2" s="1"/>
  <c r="N93" i="2"/>
  <c r="N78" i="2"/>
  <c r="BU337" i="2"/>
  <c r="BW329" i="2"/>
  <c r="AU326" i="2"/>
  <c r="AE326" i="2"/>
  <c r="O326" i="2"/>
  <c r="CD312" i="2"/>
  <c r="CD319" i="2" s="1"/>
  <c r="BJ305" i="2"/>
  <c r="AT305" i="2"/>
  <c r="AD305" i="2"/>
  <c r="N305" i="2"/>
  <c r="BT276" i="2"/>
  <c r="CA275" i="2"/>
  <c r="AD272" i="2"/>
  <c r="AD277" i="2" s="1"/>
  <c r="CF245" i="2"/>
  <c r="BG219" i="2"/>
  <c r="BJ186" i="2"/>
  <c r="AP186" i="2"/>
  <c r="BI181" i="2"/>
  <c r="BI180" i="2"/>
  <c r="CB163" i="2"/>
  <c r="CF130" i="2"/>
  <c r="AF107" i="2"/>
  <c r="AJ107" i="2"/>
  <c r="BV329" i="2"/>
  <c r="BV336" i="2" s="1"/>
  <c r="BJ326" i="2"/>
  <c r="AT326" i="2"/>
  <c r="AD326" i="2"/>
  <c r="N326" i="2"/>
  <c r="BI305" i="2"/>
  <c r="AS305" i="2"/>
  <c r="AC305" i="2"/>
  <c r="M305" i="2"/>
  <c r="AF276" i="2"/>
  <c r="CE245" i="2"/>
  <c r="AJ244" i="2"/>
  <c r="BF219" i="2"/>
  <c r="BH215" i="2"/>
  <c r="BI186" i="2"/>
  <c r="AS185" i="2"/>
  <c r="AT177" i="2"/>
  <c r="BD172" i="2"/>
  <c r="BD173" i="2"/>
  <c r="BE173" i="2"/>
  <c r="BH172" i="2"/>
  <c r="AN172" i="2"/>
  <c r="AN173" i="2"/>
  <c r="AO173" i="2"/>
  <c r="BZ163" i="2"/>
  <c r="BX119" i="2"/>
  <c r="CC97" i="2"/>
  <c r="BU329" i="2"/>
  <c r="BU336" i="2" s="1"/>
  <c r="BI326" i="2"/>
  <c r="AS326" i="2"/>
  <c r="AC326" i="2"/>
  <c r="M326" i="2"/>
  <c r="BH305" i="2"/>
  <c r="AR305" i="2"/>
  <c r="AB305" i="2"/>
  <c r="L305" i="2"/>
  <c r="AB272" i="2"/>
  <c r="L272" i="2"/>
  <c r="L277" i="2" s="1"/>
  <c r="BW256" i="2"/>
  <c r="BW263" i="2" s="1"/>
  <c r="T216" i="2"/>
  <c r="CG209" i="2"/>
  <c r="BG186" i="2"/>
  <c r="AX180" i="2"/>
  <c r="AS177" i="2"/>
  <c r="CA172" i="2"/>
  <c r="BI107" i="2"/>
  <c r="AE107" i="2"/>
  <c r="U107" i="2"/>
  <c r="CH103" i="2"/>
  <c r="CE103" i="2"/>
  <c r="M10" i="832"/>
  <c r="CG90" i="2"/>
  <c r="BF95" i="2"/>
  <c r="BF106" i="2"/>
  <c r="BF186" i="2"/>
  <c r="BF172" i="2"/>
  <c r="BB172" i="2"/>
  <c r="BB173" i="2"/>
  <c r="AP172" i="2"/>
  <c r="AL172" i="2"/>
  <c r="AL173" i="2"/>
  <c r="CF129" i="2"/>
  <c r="CG129" i="2"/>
  <c r="CG162" i="2"/>
  <c r="CF134" i="2"/>
  <c r="CG134" i="2"/>
  <c r="CF138" i="2"/>
  <c r="BW117" i="2"/>
  <c r="BW119" i="2" s="1"/>
  <c r="R119" i="2"/>
  <c r="AN107" i="2"/>
  <c r="AR107" i="2"/>
  <c r="BZ171" i="2"/>
  <c r="CC158" i="2"/>
  <c r="BW130" i="2"/>
  <c r="CD129" i="2"/>
  <c r="U572" i="2"/>
  <c r="Q83" i="2"/>
  <c r="Q85" i="2" s="1"/>
  <c r="CA158" i="2"/>
  <c r="CA163" i="2" s="1"/>
  <c r="CG69" i="2"/>
  <c r="BU69" i="2"/>
  <c r="CD138" i="2"/>
  <c r="AW130" i="2"/>
  <c r="AG130" i="2"/>
  <c r="Q130" i="2"/>
  <c r="AX107" i="2"/>
  <c r="AH107" i="2"/>
  <c r="R107" i="2"/>
  <c r="BT72" i="2"/>
  <c r="BT76" i="2"/>
  <c r="AU23" i="2"/>
  <c r="AD21" i="2"/>
  <c r="AD27" i="2"/>
  <c r="AD26" i="2"/>
  <c r="AD52" i="2"/>
  <c r="Q163" i="2"/>
  <c r="BY158" i="2"/>
  <c r="N140" i="2"/>
  <c r="AV130" i="2"/>
  <c r="AF130" i="2"/>
  <c r="P130" i="2"/>
  <c r="R32" i="753"/>
  <c r="AQ82" i="2"/>
  <c r="AQ98" i="2" s="1"/>
  <c r="AQ104" i="2" s="1"/>
  <c r="CH125" i="2"/>
  <c r="AZ97" i="2"/>
  <c r="CF97" i="2" s="1"/>
  <c r="Q32" i="753"/>
  <c r="CA26" i="2"/>
  <c r="CA21" i="2"/>
  <c r="CA27" i="2"/>
  <c r="BA139" i="2"/>
  <c r="CE134" i="2"/>
  <c r="BW134" i="2"/>
  <c r="BJ130" i="2"/>
  <c r="AT130" i="2"/>
  <c r="AD130" i="2"/>
  <c r="N130" i="2"/>
  <c r="CG125" i="2"/>
  <c r="BV107" i="2"/>
  <c r="CF90" i="2"/>
  <c r="AA81" i="2"/>
  <c r="AU173" i="2"/>
  <c r="BJ148" i="2"/>
  <c r="AT148" i="2"/>
  <c r="AD148" i="2"/>
  <c r="N148" i="2"/>
  <c r="BI130" i="2"/>
  <c r="AS130" i="2"/>
  <c r="AC130" i="2"/>
  <c r="M130" i="2"/>
  <c r="BW129" i="2"/>
  <c r="BR125" i="2"/>
  <c r="AT107" i="2"/>
  <c r="AD107" i="2"/>
  <c r="X95" i="2"/>
  <c r="BG50" i="2"/>
  <c r="AS55" i="2"/>
  <c r="AS70" i="2"/>
  <c r="AS54" i="2"/>
  <c r="AS81" i="2"/>
  <c r="AC54" i="2"/>
  <c r="AC70" i="2"/>
  <c r="AC47" i="2"/>
  <c r="AC81" i="2"/>
  <c r="M55" i="2"/>
  <c r="M54" i="2"/>
  <c r="Q55" i="2"/>
  <c r="M70" i="2"/>
  <c r="Q53" i="2"/>
  <c r="M47" i="2"/>
  <c r="N49" i="2" s="1"/>
  <c r="M81" i="2"/>
  <c r="BI148" i="2"/>
  <c r="AS148" i="2"/>
  <c r="AC148" i="2"/>
  <c r="M148" i="2"/>
  <c r="CD134" i="2"/>
  <c r="BV134" i="2"/>
  <c r="BH130" i="2"/>
  <c r="BV129" i="2"/>
  <c r="AM95" i="2"/>
  <c r="W95" i="2"/>
  <c r="CB512" i="2"/>
  <c r="CB84" i="2" s="1"/>
  <c r="CE80" i="2"/>
  <c r="CC80" i="2"/>
  <c r="CA80" i="2"/>
  <c r="CA97" i="2" s="1"/>
  <c r="BM66" i="2"/>
  <c r="CI65" i="2"/>
  <c r="CD125" i="2"/>
  <c r="CE163" i="2" s="1"/>
  <c r="BW82" i="2"/>
  <c r="BW98" i="2" s="1"/>
  <c r="BW104" i="2" s="1"/>
  <c r="BI82" i="2"/>
  <c r="BI98" i="2" s="1"/>
  <c r="BI104" i="2" s="1"/>
  <c r="AG72" i="2"/>
  <c r="AG76" i="2"/>
  <c r="AG71" i="2"/>
  <c r="Q72" i="2"/>
  <c r="Q76" i="2"/>
  <c r="CC184" i="2"/>
  <c r="CC185" i="2" s="1"/>
  <c r="BF143" i="2"/>
  <c r="AP143" i="2"/>
  <c r="Z143" i="2"/>
  <c r="CC134" i="2"/>
  <c r="W570" i="2"/>
  <c r="W572" i="2" s="1"/>
  <c r="BA95" i="2"/>
  <c r="CB90" i="2"/>
  <c r="N82" i="2"/>
  <c r="N98" i="2" s="1"/>
  <c r="N104" i="2" s="1"/>
  <c r="N83" i="2"/>
  <c r="N85" i="2" s="1"/>
  <c r="CA69" i="2"/>
  <c r="BW69" i="2"/>
  <c r="BW70" i="2" s="1"/>
  <c r="CG80" i="2"/>
  <c r="AA135" i="2"/>
  <c r="W135" i="2"/>
  <c r="W149" i="2"/>
  <c r="X149" i="2"/>
  <c r="CB184" i="2"/>
  <c r="CB185" i="2" s="1"/>
  <c r="CB169" i="2"/>
  <c r="CB125" i="2"/>
  <c r="AZ95" i="2"/>
  <c r="T95" i="2"/>
  <c r="R54" i="2"/>
  <c r="R47" i="2"/>
  <c r="R81" i="2"/>
  <c r="R55" i="2"/>
  <c r="R53" i="2"/>
  <c r="R70" i="2"/>
  <c r="AQ70" i="2"/>
  <c r="AQ54" i="2"/>
  <c r="AQ47" i="2"/>
  <c r="AA54" i="2"/>
  <c r="AA70" i="2"/>
  <c r="AA47" i="2"/>
  <c r="AP11" i="2"/>
  <c r="AP144" i="2"/>
  <c r="AP13" i="2" s="1"/>
  <c r="CG158" i="2"/>
  <c r="CG163" i="2" s="1"/>
  <c r="CA125" i="2"/>
  <c r="BN125" i="2"/>
  <c r="BI97" i="2"/>
  <c r="CH97" i="2" s="1"/>
  <c r="Q73" i="2"/>
  <c r="N72" i="2"/>
  <c r="BM125" i="2"/>
  <c r="CI125" i="2" s="1"/>
  <c r="AR97" i="2"/>
  <c r="CD97" i="2" s="1"/>
  <c r="BQ83" i="2"/>
  <c r="BR38" i="2"/>
  <c r="BR44" i="2"/>
  <c r="AY22" i="2"/>
  <c r="AY23" i="2"/>
  <c r="K97" i="2"/>
  <c r="AG89" i="2"/>
  <c r="AG91" i="2" s="1"/>
  <c r="BV450" i="2"/>
  <c r="BV80" i="2" s="1"/>
  <c r="BV97" i="2" s="1"/>
  <c r="BU26" i="2"/>
  <c r="BU52" i="2"/>
  <c r="BQ43" i="2"/>
  <c r="BX37" i="2"/>
  <c r="BX43" i="2"/>
  <c r="BX32" i="2"/>
  <c r="CD31" i="2"/>
  <c r="AW37" i="2"/>
  <c r="CC36" i="2"/>
  <c r="CD36" i="2"/>
  <c r="CF42" i="2"/>
  <c r="BZ26" i="2"/>
  <c r="BZ21" i="2"/>
  <c r="BZ27" i="2"/>
  <c r="BK59" i="2"/>
  <c r="BG81" i="2"/>
  <c r="BB21" i="2"/>
  <c r="BB27" i="2"/>
  <c r="AT21" i="2"/>
  <c r="AT27" i="2"/>
  <c r="AT26" i="2"/>
  <c r="R45" i="753"/>
  <c r="R64" i="753" s="1"/>
  <c r="N50" i="2"/>
  <c r="BY21" i="2"/>
  <c r="BY52" i="2"/>
  <c r="BY27" i="2"/>
  <c r="BD11" i="2"/>
  <c r="BD144" i="2"/>
  <c r="BD13" i="2" s="1"/>
  <c r="BH144" i="2"/>
  <c r="BH13" i="2" s="1"/>
  <c r="T144" i="2"/>
  <c r="T13" i="2" s="1"/>
  <c r="T11" i="2"/>
  <c r="BX9" i="2"/>
  <c r="BX126" i="2"/>
  <c r="BX416" i="2"/>
  <c r="Q45" i="753"/>
  <c r="BV37" i="2"/>
  <c r="BV43" i="2"/>
  <c r="CA36" i="2"/>
  <c r="CA42" i="2"/>
  <c r="CB35" i="2"/>
  <c r="CB32" i="2"/>
  <c r="BC35" i="2"/>
  <c r="AY32" i="2"/>
  <c r="AY41" i="2"/>
  <c r="AM35" i="2"/>
  <c r="AI32" i="2"/>
  <c r="AI41" i="2"/>
  <c r="W35" i="2"/>
  <c r="S32" i="2"/>
  <c r="S41" i="2"/>
  <c r="CF25" i="2"/>
  <c r="L27" i="2"/>
  <c r="L26" i="2"/>
  <c r="L21" i="2"/>
  <c r="L52" i="2"/>
  <c r="AY11" i="2"/>
  <c r="AY144" i="2"/>
  <c r="AY13" i="2" s="1"/>
  <c r="AV36" i="2"/>
  <c r="AV42" i="2"/>
  <c r="AF36" i="2"/>
  <c r="AF42" i="2"/>
  <c r="P36" i="2"/>
  <c r="P42" i="2"/>
  <c r="CA35" i="2"/>
  <c r="CA32" i="2"/>
  <c r="AA27" i="2"/>
  <c r="BJ21" i="2"/>
  <c r="BJ26" i="2"/>
  <c r="BJ27" i="2"/>
  <c r="BN27" i="2" s="1"/>
  <c r="K26" i="2"/>
  <c r="K21" i="2"/>
  <c r="O22" i="2" s="1"/>
  <c r="O26" i="2"/>
  <c r="AX11" i="2"/>
  <c r="M37" i="2"/>
  <c r="BZ35" i="2"/>
  <c r="BZ32" i="2"/>
  <c r="BZ52" i="2" s="1"/>
  <c r="BZ41" i="2"/>
  <c r="AW41" i="2"/>
  <c r="AW35" i="2"/>
  <c r="AG41" i="2"/>
  <c r="AG35" i="2"/>
  <c r="Q41" i="2"/>
  <c r="Q35" i="2"/>
  <c r="BB26" i="2"/>
  <c r="BW22" i="2"/>
  <c r="BW23" i="2"/>
  <c r="AI22" i="2"/>
  <c r="AI23" i="2"/>
  <c r="S22" i="2"/>
  <c r="S23" i="2"/>
  <c r="J26" i="2"/>
  <c r="J21" i="2"/>
  <c r="J27" i="2"/>
  <c r="AC11" i="2"/>
  <c r="AC144" i="2"/>
  <c r="AC13" i="2" s="1"/>
  <c r="CG10" i="2"/>
  <c r="CG12" i="2" s="1"/>
  <c r="R174" i="551"/>
  <c r="Q193" i="551"/>
  <c r="Q179" i="551"/>
  <c r="Q178" i="551" s="1"/>
  <c r="BI70" i="2"/>
  <c r="T36" i="2"/>
  <c r="BG37" i="2"/>
  <c r="BC32" i="2"/>
  <c r="AQ37" i="2"/>
  <c r="AM32" i="2"/>
  <c r="AA37" i="2"/>
  <c r="W32" i="2"/>
  <c r="K37" i="2"/>
  <c r="G32" i="2"/>
  <c r="K38" i="2" s="1"/>
  <c r="BY36" i="2"/>
  <c r="BZ36" i="2"/>
  <c r="BY42" i="2"/>
  <c r="AV32" i="2"/>
  <c r="AF32" i="2"/>
  <c r="P32" i="2"/>
  <c r="BV21" i="2"/>
  <c r="BV27" i="2"/>
  <c r="BV52" i="2"/>
  <c r="BV26" i="2"/>
  <c r="AR27" i="2"/>
  <c r="AR21" i="2"/>
  <c r="AR52" i="2"/>
  <c r="CD25" i="2"/>
  <c r="AI27" i="2"/>
  <c r="AI26" i="2"/>
  <c r="S27" i="2"/>
  <c r="S26" i="2"/>
  <c r="I21" i="2"/>
  <c r="I26" i="2"/>
  <c r="I52" i="2"/>
  <c r="M53" i="2" s="1"/>
  <c r="M26" i="2"/>
  <c r="AR11" i="2"/>
  <c r="AV144" i="2"/>
  <c r="AV13" i="2" s="1"/>
  <c r="BY35" i="2"/>
  <c r="BY32" i="2"/>
  <c r="AU52" i="2"/>
  <c r="AU38" i="2"/>
  <c r="AE52" i="2"/>
  <c r="AE38" i="2"/>
  <c r="O52" i="2"/>
  <c r="O38" i="2"/>
  <c r="AQ26" i="2"/>
  <c r="AQ21" i="2"/>
  <c r="AU26" i="2"/>
  <c r="AH27" i="2"/>
  <c r="AH26" i="2"/>
  <c r="AA26" i="2"/>
  <c r="AA21" i="2"/>
  <c r="AE26" i="2"/>
  <c r="R27" i="2"/>
  <c r="R26" i="2"/>
  <c r="R21" i="2"/>
  <c r="BG70" i="2"/>
  <c r="K70" i="2"/>
  <c r="K54" i="2"/>
  <c r="BQ44" i="2"/>
  <c r="AG38" i="2"/>
  <c r="BA35" i="2"/>
  <c r="BE37" i="2"/>
  <c r="BA43" i="2"/>
  <c r="BA32" i="2"/>
  <c r="AO37" i="2"/>
  <c r="AK43" i="2"/>
  <c r="AK32" i="2"/>
  <c r="Y37" i="2"/>
  <c r="U43" i="2"/>
  <c r="U32" i="2"/>
  <c r="Y38" i="2" s="1"/>
  <c r="I37" i="2"/>
  <c r="E43" i="2"/>
  <c r="E32" i="2"/>
  <c r="BJ175" i="2"/>
  <c r="AX38" i="2"/>
  <c r="AH38" i="2"/>
  <c r="R38" i="2"/>
  <c r="AP26" i="2"/>
  <c r="AP21" i="2"/>
  <c r="AP27" i="2"/>
  <c r="Z26" i="2"/>
  <c r="Z21" i="2"/>
  <c r="Z27" i="2"/>
  <c r="Q23" i="2"/>
  <c r="Q22" i="2"/>
  <c r="BZ135" i="2"/>
  <c r="CA135" i="2"/>
  <c r="AL12" i="2"/>
  <c r="AP12" i="2"/>
  <c r="BT54" i="2"/>
  <c r="BT47" i="2"/>
  <c r="BQ47" i="2"/>
  <c r="BQ50" i="2" s="1"/>
  <c r="BQ54" i="2"/>
  <c r="AS38" i="2"/>
  <c r="AS44" i="2"/>
  <c r="AC38" i="2"/>
  <c r="AC44" i="2"/>
  <c r="M38" i="2"/>
  <c r="M44" i="2"/>
  <c r="BH21" i="2"/>
  <c r="BH27" i="2"/>
  <c r="BL27" i="2" s="1"/>
  <c r="BH52" i="2"/>
  <c r="AY27" i="2"/>
  <c r="AY26" i="2"/>
  <c r="AO21" i="2"/>
  <c r="AO26" i="2"/>
  <c r="AO52" i="2"/>
  <c r="AS26" i="2"/>
  <c r="Y21" i="2"/>
  <c r="AC22" i="2" s="1"/>
  <c r="Y26" i="2"/>
  <c r="Y52" i="2"/>
  <c r="AC26" i="2"/>
  <c r="AU144" i="2"/>
  <c r="AU13" i="2" s="1"/>
  <c r="AU11" i="2"/>
  <c r="AD12" i="2"/>
  <c r="AH12" i="2"/>
  <c r="BG54" i="2"/>
  <c r="AY52" i="2"/>
  <c r="AE44" i="2"/>
  <c r="AC37" i="2"/>
  <c r="AY35" i="2"/>
  <c r="BF36" i="2"/>
  <c r="BF32" i="2"/>
  <c r="AP36" i="2"/>
  <c r="AP32" i="2"/>
  <c r="Z36" i="2"/>
  <c r="Z32" i="2"/>
  <c r="J36" i="2"/>
  <c r="J32" i="2"/>
  <c r="N38" i="2" s="1"/>
  <c r="CD32" i="2"/>
  <c r="AB44" i="2"/>
  <c r="AB52" i="2"/>
  <c r="L44" i="2"/>
  <c r="AL26" i="2"/>
  <c r="BG26" i="2"/>
  <c r="BG21" i="2"/>
  <c r="BG27" i="2"/>
  <c r="BK27" i="2" s="1"/>
  <c r="AX27" i="2"/>
  <c r="AX26" i="2"/>
  <c r="P52" i="2"/>
  <c r="AG53" i="2"/>
  <c r="AX54" i="2"/>
  <c r="AX47" i="2"/>
  <c r="Q38" i="2"/>
  <c r="BK179" i="2"/>
  <c r="BO175" i="2"/>
  <c r="BV36" i="2"/>
  <c r="BV42" i="2"/>
  <c r="BW41" i="2"/>
  <c r="BW35" i="2"/>
  <c r="K27" i="2"/>
  <c r="BF26" i="2"/>
  <c r="BF21" i="2"/>
  <c r="BF27" i="2"/>
  <c r="AW23" i="2"/>
  <c r="AW22" i="2"/>
  <c r="F21" i="2"/>
  <c r="F23" i="2" s="1"/>
  <c r="F27" i="2"/>
  <c r="M179" i="551"/>
  <c r="M178" i="551" s="1"/>
  <c r="N174" i="551"/>
  <c r="M193" i="551"/>
  <c r="AG55" i="2"/>
  <c r="BJ52" i="2"/>
  <c r="AC43" i="2"/>
  <c r="CA41" i="2"/>
  <c r="W37" i="2"/>
  <c r="AJ36" i="2"/>
  <c r="U35" i="2"/>
  <c r="AW32" i="2"/>
  <c r="CB37" i="2"/>
  <c r="CA43" i="2"/>
  <c r="CG30" i="2"/>
  <c r="BD36" i="2"/>
  <c r="BD42" i="2"/>
  <c r="BD32" i="2"/>
  <c r="AN36" i="2"/>
  <c r="AN42" i="2"/>
  <c r="AN32" i="2"/>
  <c r="X36" i="2"/>
  <c r="X42" i="2"/>
  <c r="X32" i="2"/>
  <c r="H36" i="2"/>
  <c r="H42" i="2"/>
  <c r="H32" i="2"/>
  <c r="BV32" i="2"/>
  <c r="BV41" i="2"/>
  <c r="I27" i="2"/>
  <c r="BE21" i="2"/>
  <c r="BI22" i="2" s="1"/>
  <c r="BE26" i="2"/>
  <c r="BE52" i="2"/>
  <c r="BI53" i="2" s="1"/>
  <c r="BI26" i="2"/>
  <c r="AM26" i="2"/>
  <c r="W26" i="2"/>
  <c r="O23" i="2"/>
  <c r="AR144" i="2"/>
  <c r="AR13" i="2" s="1"/>
  <c r="S11" i="2"/>
  <c r="S144" i="2"/>
  <c r="S13" i="2" s="1"/>
  <c r="AA12" i="2"/>
  <c r="CB135" i="2"/>
  <c r="CC135" i="2"/>
  <c r="AH52" i="2"/>
  <c r="BY41" i="2"/>
  <c r="I38" i="2"/>
  <c r="BH36" i="2"/>
  <c r="BZ37" i="2"/>
  <c r="BZ43" i="2"/>
  <c r="BI38" i="2"/>
  <c r="BI44" i="2"/>
  <c r="BI175" i="2"/>
  <c r="BU32" i="2"/>
  <c r="BU35" i="2"/>
  <c r="BE35" i="2"/>
  <c r="CG29" i="2"/>
  <c r="AO35" i="2"/>
  <c r="CC29" i="2"/>
  <c r="AQ27" i="2"/>
  <c r="AE23" i="2"/>
  <c r="AE22" i="2"/>
  <c r="BC144" i="2"/>
  <c r="BC13" i="2" s="1"/>
  <c r="Y144" i="2"/>
  <c r="Y13" i="2" s="1"/>
  <c r="Y11" i="2"/>
  <c r="Z12" i="2"/>
  <c r="BJ12" i="2"/>
  <c r="BM59" i="2"/>
  <c r="AT52" i="2"/>
  <c r="AG47" i="2"/>
  <c r="S52" i="2"/>
  <c r="U37" i="2"/>
  <c r="CD35" i="2"/>
  <c r="S35" i="2"/>
  <c r="BY37" i="2"/>
  <c r="CE30" i="2"/>
  <c r="CF36" i="2" s="1"/>
  <c r="BS52" i="2"/>
  <c r="BS38" i="2"/>
  <c r="AO27" i="2"/>
  <c r="CE25" i="2"/>
  <c r="AL21" i="2"/>
  <c r="CB25" i="2"/>
  <c r="AL27" i="2"/>
  <c r="V21" i="2"/>
  <c r="V27" i="2"/>
  <c r="N21" i="2"/>
  <c r="N27" i="2"/>
  <c r="N26" i="2"/>
  <c r="X144" i="2"/>
  <c r="X13" i="2" s="1"/>
  <c r="X11" i="2"/>
  <c r="AG22" i="2"/>
  <c r="BD21" i="2"/>
  <c r="AN21" i="2"/>
  <c r="X21" i="2"/>
  <c r="H21" i="2"/>
  <c r="BD149" i="2"/>
  <c r="AN149" i="2"/>
  <c r="AI135" i="2"/>
  <c r="P179" i="551"/>
  <c r="Q174" i="551"/>
  <c r="O172" i="551"/>
  <c r="BD27" i="2"/>
  <c r="AN27" i="2"/>
  <c r="X27" i="2"/>
  <c r="H27" i="2"/>
  <c r="AX21" i="2"/>
  <c r="AH21" i="2"/>
  <c r="V149" i="2"/>
  <c r="AE144" i="2"/>
  <c r="AE13" i="2" s="1"/>
  <c r="N179" i="551"/>
  <c r="O174" i="551"/>
  <c r="CC25" i="2"/>
  <c r="BC21" i="2"/>
  <c r="AM21" i="2"/>
  <c r="W21" i="2"/>
  <c r="U149" i="2"/>
  <c r="CD144" i="2"/>
  <c r="CD13" i="2" s="1"/>
  <c r="BJ11" i="2"/>
  <c r="AH135" i="2"/>
  <c r="AF144" i="2"/>
  <c r="AF13" i="2" s="1"/>
  <c r="AF11" i="2"/>
  <c r="BB10" i="2"/>
  <c r="BB12" i="2" s="1"/>
  <c r="N33" i="551"/>
  <c r="O71" i="551"/>
  <c r="BB32" i="2"/>
  <c r="AL32" i="2"/>
  <c r="V32" i="2"/>
  <c r="F32" i="2"/>
  <c r="AZ149" i="2"/>
  <c r="AJ149" i="2"/>
  <c r="AJ153" i="2" s="1"/>
  <c r="AJ15" i="2" s="1"/>
  <c r="BH12" i="2"/>
  <c r="BU9" i="2"/>
  <c r="BU41" i="2" s="1"/>
  <c r="BU126" i="2"/>
  <c r="BS26" i="2"/>
  <c r="AV26" i="2"/>
  <c r="AF26" i="2"/>
  <c r="P26" i="2"/>
  <c r="AY149" i="2"/>
  <c r="AT12" i="2"/>
  <c r="AZ32" i="2"/>
  <c r="AJ32" i="2"/>
  <c r="T32" i="2"/>
  <c r="D32" i="2"/>
  <c r="BR26" i="2"/>
  <c r="AT135" i="2"/>
  <c r="AX144" i="2" s="1"/>
  <c r="AX13" i="2" s="1"/>
  <c r="AG135" i="2"/>
  <c r="BS12" i="2"/>
  <c r="L179" i="551"/>
  <c r="M174" i="551"/>
  <c r="L193" i="551"/>
  <c r="AS35" i="2"/>
  <c r="AC35" i="2"/>
  <c r="M35" i="2"/>
  <c r="BH175" i="2"/>
  <c r="R144" i="2"/>
  <c r="R13" i="2" s="1"/>
  <c r="BF135" i="2"/>
  <c r="BJ144" i="2" s="1"/>
  <c r="BJ13" i="2" s="1"/>
  <c r="BR10" i="2"/>
  <c r="K179" i="551"/>
  <c r="K178" i="551" s="1"/>
  <c r="K193" i="551"/>
  <c r="CF31" i="2"/>
  <c r="CE29" i="2"/>
  <c r="BR21" i="2"/>
  <c r="AV21" i="2"/>
  <c r="AF21" i="2"/>
  <c r="P21" i="2"/>
  <c r="AS11" i="2"/>
  <c r="AM135" i="2"/>
  <c r="AQ10" i="2"/>
  <c r="AQ12" i="2" s="1"/>
  <c r="CB9" i="2"/>
  <c r="CB41" i="2" s="1"/>
  <c r="N12" i="2"/>
  <c r="BG135" i="2"/>
  <c r="G172" i="551"/>
  <c r="BT42" i="2"/>
  <c r="BF35" i="2"/>
  <c r="AP35" i="2"/>
  <c r="Z35" i="2"/>
  <c r="J35" i="2"/>
  <c r="AV27" i="2"/>
  <c r="AF27" i="2"/>
  <c r="P27" i="2"/>
  <c r="AD149" i="2"/>
  <c r="AD153" i="2" s="1"/>
  <c r="AD15" i="2" s="1"/>
  <c r="BE135" i="2"/>
  <c r="AO10" i="2"/>
  <c r="AO12" i="2" s="1"/>
  <c r="M12" i="2"/>
  <c r="AW12" i="2"/>
  <c r="AG12" i="2"/>
  <c r="Q12" i="2"/>
  <c r="F174" i="551"/>
  <c r="E179" i="551"/>
  <c r="E178" i="551" s="1"/>
  <c r="G174" i="551"/>
  <c r="F179" i="551"/>
  <c r="F178" i="551" s="1"/>
  <c r="BW43" i="2"/>
  <c r="BS42" i="2"/>
  <c r="AW42" i="2"/>
  <c r="AG42" i="2"/>
  <c r="Q42" i="2"/>
  <c r="CG25" i="2"/>
  <c r="AN10" i="2"/>
  <c r="AV12" i="2"/>
  <c r="AF12" i="2"/>
  <c r="P12" i="2"/>
  <c r="BR52" i="2"/>
  <c r="AN52" i="2"/>
  <c r="X52" i="2"/>
  <c r="H52" i="2"/>
  <c r="AZ43" i="2"/>
  <c r="AJ43" i="2"/>
  <c r="T43" i="2"/>
  <c r="D43" i="2"/>
  <c r="AR41" i="2"/>
  <c r="AB41" i="2"/>
  <c r="L41" i="2"/>
  <c r="BT36" i="2"/>
  <c r="BH149" i="2"/>
  <c r="L149" i="2"/>
  <c r="Z144" i="2"/>
  <c r="Z13" i="2" s="1"/>
  <c r="BB135" i="2"/>
  <c r="CE126" i="2"/>
  <c r="AD135" i="2"/>
  <c r="Q144" i="2"/>
  <c r="Q13" i="2" s="1"/>
  <c r="BI12" i="2"/>
  <c r="AU12" i="2"/>
  <c r="AE12" i="2"/>
  <c r="O12" i="2"/>
  <c r="BS36" i="2"/>
  <c r="BG149" i="2"/>
  <c r="AQ149" i="2"/>
  <c r="AA149" i="2"/>
  <c r="AY14" i="2"/>
  <c r="AI14" i="2"/>
  <c r="S14" i="2"/>
  <c r="AJ144" i="2"/>
  <c r="AJ13" i="2" s="1"/>
  <c r="CF126" i="2"/>
  <c r="CG135" i="2" s="1"/>
  <c r="BV135" i="2"/>
  <c r="P193" i="551"/>
  <c r="P166" i="551"/>
  <c r="P100" i="551"/>
  <c r="L179" i="562"/>
  <c r="M174" i="562"/>
  <c r="L193" i="562"/>
  <c r="BH38" i="2"/>
  <c r="BR36" i="2"/>
  <c r="AX14" i="2"/>
  <c r="AH14" i="2"/>
  <c r="AW135" i="2"/>
  <c r="I179" i="551"/>
  <c r="I178" i="551" s="1"/>
  <c r="L174" i="551"/>
  <c r="R164" i="551"/>
  <c r="R155" i="551"/>
  <c r="J29" i="551"/>
  <c r="K67" i="551"/>
  <c r="M193" i="562"/>
  <c r="N174" i="562"/>
  <c r="M179" i="562"/>
  <c r="M178" i="562" s="1"/>
  <c r="H179" i="562"/>
  <c r="H178" i="562" s="1"/>
  <c r="H193" i="562"/>
  <c r="I174" i="562"/>
  <c r="M97" i="551"/>
  <c r="M124" i="551" s="1"/>
  <c r="N32" i="551" s="1"/>
  <c r="R164" i="562"/>
  <c r="Q166" i="562"/>
  <c r="Q73" i="551"/>
  <c r="I178" i="562"/>
  <c r="P127" i="551"/>
  <c r="I20" i="551"/>
  <c r="I66" i="551"/>
  <c r="H20" i="551"/>
  <c r="H65" i="551"/>
  <c r="G20" i="551"/>
  <c r="G64" i="551"/>
  <c r="J178" i="562"/>
  <c r="L69" i="551"/>
  <c r="Q164" i="551"/>
  <c r="Q166" i="551" s="1"/>
  <c r="R166" i="551" s="1"/>
  <c r="Q70" i="551"/>
  <c r="E20" i="551"/>
  <c r="E62" i="551"/>
  <c r="P20" i="551"/>
  <c r="O179" i="562"/>
  <c r="O178" i="562" s="1"/>
  <c r="O193" i="562"/>
  <c r="P174" i="562"/>
  <c r="P178" i="562" s="1"/>
  <c r="O34" i="551"/>
  <c r="P72" i="551"/>
  <c r="O20" i="551"/>
  <c r="N179" i="562"/>
  <c r="N178" i="562" s="1"/>
  <c r="F158" i="562"/>
  <c r="Q101" i="562"/>
  <c r="M67" i="562"/>
  <c r="N20" i="551"/>
  <c r="K179" i="562"/>
  <c r="K178" i="562" s="1"/>
  <c r="K193" i="562"/>
  <c r="J94" i="562"/>
  <c r="J121" i="562" s="1"/>
  <c r="K29" i="562" s="1"/>
  <c r="F174" i="562"/>
  <c r="F178" i="562" s="1"/>
  <c r="M97" i="562"/>
  <c r="N97" i="562"/>
  <c r="F21" i="551"/>
  <c r="R73" i="562"/>
  <c r="I93" i="562"/>
  <c r="I120" i="562" s="1"/>
  <c r="J28" i="562" s="1"/>
  <c r="K21" i="551"/>
  <c r="Q158" i="562"/>
  <c r="R158" i="562" s="1"/>
  <c r="Q21" i="551"/>
  <c r="I158" i="562"/>
  <c r="F63" i="562"/>
  <c r="F20" i="562"/>
  <c r="P164" i="562"/>
  <c r="P166" i="562" s="1"/>
  <c r="H164" i="562"/>
  <c r="H166" i="562" s="1"/>
  <c r="O20" i="562"/>
  <c r="O72" i="562"/>
  <c r="L174" i="562"/>
  <c r="N98" i="562"/>
  <c r="N125" i="562" s="1"/>
  <c r="O33" i="562" s="1"/>
  <c r="N193" i="562"/>
  <c r="N20" i="562"/>
  <c r="N70" i="562"/>
  <c r="N66" i="562"/>
  <c r="H21" i="562"/>
  <c r="S74" i="565"/>
  <c r="M124" i="562"/>
  <c r="N32" i="562" s="1"/>
  <c r="G21" i="562"/>
  <c r="G174" i="565"/>
  <c r="G178" i="565" s="1"/>
  <c r="F179" i="565"/>
  <c r="F178" i="565" s="1"/>
  <c r="E19" i="562"/>
  <c r="K178" i="565"/>
  <c r="R174" i="565"/>
  <c r="Q193" i="565"/>
  <c r="N68" i="562"/>
  <c r="R74" i="562"/>
  <c r="O71" i="562"/>
  <c r="Q128" i="562"/>
  <c r="L21" i="562"/>
  <c r="I93" i="565"/>
  <c r="P19" i="562"/>
  <c r="P20" i="562" s="1"/>
  <c r="P100" i="562"/>
  <c r="P127" i="562" s="1"/>
  <c r="Q35" i="562" s="1"/>
  <c r="K20" i="562"/>
  <c r="J20" i="562"/>
  <c r="I179" i="565"/>
  <c r="I193" i="565"/>
  <c r="J174" i="565"/>
  <c r="J178" i="565" s="1"/>
  <c r="K95" i="562"/>
  <c r="K122" i="562" s="1"/>
  <c r="L30" i="562" s="1"/>
  <c r="Q101" i="565"/>
  <c r="P179" i="565"/>
  <c r="P178" i="565" s="1"/>
  <c r="Q174" i="565"/>
  <c r="Q178" i="565" s="1"/>
  <c r="L166" i="565"/>
  <c r="M164" i="565"/>
  <c r="M166" i="565" s="1"/>
  <c r="L20" i="565"/>
  <c r="L69" i="565"/>
  <c r="P100" i="565"/>
  <c r="P127" i="565" s="1"/>
  <c r="Q35" i="565" s="1"/>
  <c r="E53" i="565"/>
  <c r="E21" i="562"/>
  <c r="K193" i="565"/>
  <c r="I174" i="565"/>
  <c r="M172" i="565"/>
  <c r="H166" i="565"/>
  <c r="Q158" i="565"/>
  <c r="R158" i="565" s="1"/>
  <c r="E166" i="565"/>
  <c r="K158" i="565"/>
  <c r="O67" i="565"/>
  <c r="F166" i="565"/>
  <c r="N166" i="565"/>
  <c r="Q128" i="565"/>
  <c r="R36" i="565" s="1"/>
  <c r="H239" i="753"/>
  <c r="I236" i="753"/>
  <c r="I239" i="753" s="1"/>
  <c r="Q73" i="565"/>
  <c r="H27" i="565"/>
  <c r="I120" i="565"/>
  <c r="J28" i="565" s="1"/>
  <c r="J66" i="565"/>
  <c r="M216" i="753"/>
  <c r="M218" i="753" s="1"/>
  <c r="J65" i="565"/>
  <c r="E89" i="565"/>
  <c r="E116" i="565" s="1"/>
  <c r="J29" i="565"/>
  <c r="O71" i="565"/>
  <c r="N125" i="565"/>
  <c r="K239" i="753"/>
  <c r="K20" i="565"/>
  <c r="K68" i="565"/>
  <c r="X219" i="753"/>
  <c r="D216" i="753"/>
  <c r="X212" i="753"/>
  <c r="X213" i="753" s="1"/>
  <c r="Z216" i="753"/>
  <c r="Z218" i="753" s="1"/>
  <c r="O218" i="753"/>
  <c r="P216" i="753"/>
  <c r="P155" i="753"/>
  <c r="P148" i="753"/>
  <c r="P149" i="753" s="1"/>
  <c r="G63" i="565"/>
  <c r="M21" i="565"/>
  <c r="E20" i="565"/>
  <c r="Z171" i="753"/>
  <c r="O165" i="753"/>
  <c r="O167" i="753" s="1"/>
  <c r="N170" i="753"/>
  <c r="P239" i="753"/>
  <c r="H171" i="753"/>
  <c r="D189" i="753"/>
  <c r="X207" i="753"/>
  <c r="X175" i="753"/>
  <c r="F62" i="565"/>
  <c r="K218" i="753"/>
  <c r="I165" i="753"/>
  <c r="I167" i="753" s="1"/>
  <c r="H174" i="753"/>
  <c r="H167" i="753"/>
  <c r="H170" i="753"/>
  <c r="N236" i="753"/>
  <c r="M239" i="753"/>
  <c r="K188" i="753"/>
  <c r="K190" i="753"/>
  <c r="V171" i="753"/>
  <c r="V170" i="753"/>
  <c r="J175" i="753"/>
  <c r="J207" i="753"/>
  <c r="J189" i="753"/>
  <c r="J20" i="565"/>
  <c r="L239" i="753"/>
  <c r="J167" i="753"/>
  <c r="AA170" i="753"/>
  <c r="AA171" i="753"/>
  <c r="L216" i="753"/>
  <c r="L218" i="753" s="1"/>
  <c r="AB216" i="753"/>
  <c r="AA218" i="753"/>
  <c r="Z193" i="753"/>
  <c r="AB165" i="753"/>
  <c r="Z162" i="753"/>
  <c r="Z204" i="753"/>
  <c r="Z168" i="753"/>
  <c r="Z210" i="753"/>
  <c r="Z212" i="753" s="1"/>
  <c r="Z213" i="753" s="1"/>
  <c r="E204" i="753"/>
  <c r="E210" i="753"/>
  <c r="E212" i="753" s="1"/>
  <c r="E213" i="753" s="1"/>
  <c r="E168" i="753"/>
  <c r="S166" i="753"/>
  <c r="S187" i="753"/>
  <c r="S193" i="753" s="1"/>
  <c r="I20" i="565"/>
  <c r="K236" i="753"/>
  <c r="J239" i="753"/>
  <c r="H216" i="753"/>
  <c r="H218" i="753" s="1"/>
  <c r="G218" i="753"/>
  <c r="G165" i="753"/>
  <c r="G167" i="753" s="1"/>
  <c r="J174" i="753"/>
  <c r="F170" i="753"/>
  <c r="P174" i="753"/>
  <c r="P167" i="753"/>
  <c r="Q165" i="753"/>
  <c r="P170" i="753"/>
  <c r="Z152" i="753"/>
  <c r="Y154" i="753"/>
  <c r="W171" i="753"/>
  <c r="W167" i="753"/>
  <c r="W174" i="753"/>
  <c r="X165" i="753"/>
  <c r="X167" i="753" s="1"/>
  <c r="X174" i="753"/>
  <c r="W170" i="753"/>
  <c r="E162" i="753"/>
  <c r="E202" i="753"/>
  <c r="W154" i="753"/>
  <c r="X152" i="753"/>
  <c r="X154" i="753" s="1"/>
  <c r="E216" i="753"/>
  <c r="E218" i="753" s="1"/>
  <c r="D218" i="753"/>
  <c r="X217" i="753"/>
  <c r="X204" i="753"/>
  <c r="V162" i="753"/>
  <c r="V202" i="753"/>
  <c r="R184" i="753"/>
  <c r="I207" i="753"/>
  <c r="Y166" i="753"/>
  <c r="Y167" i="753" s="1"/>
  <c r="Y187" i="753"/>
  <c r="Y193" i="753" s="1"/>
  <c r="M154" i="753"/>
  <c r="O21" i="565"/>
  <c r="W148" i="753"/>
  <c r="W149" i="753" s="1"/>
  <c r="G21" i="565"/>
  <c r="D239" i="753"/>
  <c r="Q216" i="753"/>
  <c r="P218" i="753"/>
  <c r="L152" i="753"/>
  <c r="L154" i="753" s="1"/>
  <c r="N239" i="753"/>
  <c r="M217" i="753"/>
  <c r="AB187" i="753"/>
  <c r="AC193" i="753" s="1"/>
  <c r="J187" i="753"/>
  <c r="AD182" i="753"/>
  <c r="AB182" i="753"/>
  <c r="Y170" i="753"/>
  <c r="L167" i="753"/>
  <c r="H154" i="753"/>
  <c r="R199" i="753"/>
  <c r="AA187" i="753"/>
  <c r="AA193" i="753" s="1"/>
  <c r="I187" i="753"/>
  <c r="G170" i="753"/>
  <c r="K167" i="753"/>
  <c r="M168" i="753"/>
  <c r="R183" i="753"/>
  <c r="R159" i="753"/>
  <c r="S178" i="753" s="1"/>
  <c r="G154" i="753"/>
  <c r="J155" i="753"/>
  <c r="G236" i="753"/>
  <c r="G239" i="753" s="1"/>
  <c r="O207" i="753"/>
  <c r="L190" i="753"/>
  <c r="Z154" i="753"/>
  <c r="W216" i="753"/>
  <c r="W218" i="753" s="1"/>
  <c r="I219" i="753"/>
  <c r="G204" i="753"/>
  <c r="Q199" i="753"/>
  <c r="Q198" i="753" s="1"/>
  <c r="V166" i="753"/>
  <c r="V167" i="753" s="1"/>
  <c r="AD166" i="753"/>
  <c r="Y174" i="753"/>
  <c r="K165" i="753"/>
  <c r="Q166" i="753"/>
  <c r="H162" i="753"/>
  <c r="O204" i="753"/>
  <c r="AB125" i="753"/>
  <c r="AB115" i="753"/>
  <c r="AC115" i="753"/>
  <c r="AC125" i="753"/>
  <c r="S130" i="753"/>
  <c r="S124" i="753"/>
  <c r="S126" i="753"/>
  <c r="Q100" i="565" l="1"/>
  <c r="O98" i="562"/>
  <c r="X59" i="412"/>
  <c r="X81" i="412"/>
  <c r="BZ55" i="2"/>
  <c r="BZ47" i="2"/>
  <c r="BZ70" i="2"/>
  <c r="BZ54" i="2"/>
  <c r="BZ53" i="2"/>
  <c r="BZ81" i="2"/>
  <c r="Q217" i="753"/>
  <c r="Q197" i="753"/>
  <c r="R198" i="753"/>
  <c r="Q100" i="562"/>
  <c r="Q127" i="562" s="1"/>
  <c r="R35" i="562" s="1"/>
  <c r="CI139" i="2"/>
  <c r="CI130" i="2"/>
  <c r="K43" i="686"/>
  <c r="CG11" i="2"/>
  <c r="I46" i="686"/>
  <c r="I86" i="686" s="1"/>
  <c r="I126" i="686" s="1"/>
  <c r="O68" i="562"/>
  <c r="R182" i="753"/>
  <c r="S182" i="753"/>
  <c r="S181" i="753" s="1"/>
  <c r="Q182" i="753"/>
  <c r="Q181" i="753" s="1"/>
  <c r="Q168" i="753"/>
  <c r="N193" i="753"/>
  <c r="J193" i="753"/>
  <c r="O20" i="565"/>
  <c r="O72" i="565"/>
  <c r="AA207" i="753"/>
  <c r="F24" i="565"/>
  <c r="R101" i="565"/>
  <c r="R128" i="565" s="1"/>
  <c r="S36" i="565" s="1"/>
  <c r="BB44" i="2"/>
  <c r="BB38" i="2"/>
  <c r="BB52" i="2"/>
  <c r="BB175" i="2"/>
  <c r="BB179" i="2"/>
  <c r="R158" i="551"/>
  <c r="AT54" i="2"/>
  <c r="AT47" i="2"/>
  <c r="AT70" i="2"/>
  <c r="AT53" i="2"/>
  <c r="AX55" i="2"/>
  <c r="AX53" i="2"/>
  <c r="AT81" i="2"/>
  <c r="CB11" i="2"/>
  <c r="CB144" i="2"/>
  <c r="CB13" i="2" s="1"/>
  <c r="CB650" i="2"/>
  <c r="H44" i="2"/>
  <c r="H38" i="2"/>
  <c r="P54" i="2"/>
  <c r="P47" i="2"/>
  <c r="P53" i="2"/>
  <c r="P81" i="2"/>
  <c r="P55" i="2"/>
  <c r="P70" i="2"/>
  <c r="Z44" i="2"/>
  <c r="Z38" i="2"/>
  <c r="Z52" i="2"/>
  <c r="R23" i="2"/>
  <c r="R22" i="2"/>
  <c r="AU47" i="2"/>
  <c r="AU54" i="2"/>
  <c r="AU81" i="2"/>
  <c r="AU55" i="2"/>
  <c r="AU70" i="2"/>
  <c r="AU53" i="2"/>
  <c r="AR53" i="2"/>
  <c r="AR55" i="2"/>
  <c r="CD52" i="2"/>
  <c r="AR54" i="2"/>
  <c r="AR47" i="2"/>
  <c r="AR70" i="2"/>
  <c r="AR81" i="2"/>
  <c r="W52" i="2"/>
  <c r="W44" i="2"/>
  <c r="W38" i="2"/>
  <c r="AA38" i="2"/>
  <c r="BI66" i="2"/>
  <c r="BN139" i="2"/>
  <c r="BN148" i="2"/>
  <c r="CG139" i="2"/>
  <c r="CG130" i="2"/>
  <c r="I43" i="686"/>
  <c r="BT78" i="2"/>
  <c r="S10" i="832"/>
  <c r="CG95" i="2"/>
  <c r="I41" i="412"/>
  <c r="I42" i="412" s="1"/>
  <c r="I41" i="411"/>
  <c r="I42" i="411" s="1"/>
  <c r="I41" i="1"/>
  <c r="I42" i="1" s="1"/>
  <c r="BW336" i="2"/>
  <c r="BX336" i="2"/>
  <c r="O277" i="2"/>
  <c r="S277" i="2"/>
  <c r="CF272" i="2"/>
  <c r="CF263" i="2"/>
  <c r="AO107" i="2"/>
  <c r="CC106" i="2"/>
  <c r="BD206" i="2"/>
  <c r="CG199" i="2"/>
  <c r="BH206" i="2"/>
  <c r="AP277" i="2"/>
  <c r="CE391" i="2"/>
  <c r="BX439" i="2"/>
  <c r="BX440" i="2"/>
  <c r="AB440" i="2"/>
  <c r="AB439" i="2"/>
  <c r="AF439" i="2"/>
  <c r="CC377" i="2"/>
  <c r="Q457" i="2"/>
  <c r="Q459" i="2" s="1"/>
  <c r="Q455" i="2"/>
  <c r="CF438" i="2"/>
  <c r="CF429" i="2"/>
  <c r="CF435" i="2"/>
  <c r="CG429" i="2"/>
  <c r="X457" i="2"/>
  <c r="X459" i="2" s="1"/>
  <c r="X455" i="2"/>
  <c r="G68" i="686"/>
  <c r="X50" i="686"/>
  <c r="K50" i="686"/>
  <c r="L50" i="686" s="1"/>
  <c r="M50" i="686" s="1"/>
  <c r="N50" i="686" s="1"/>
  <c r="O50" i="686" s="1"/>
  <c r="BC648" i="2"/>
  <c r="BC649" i="2" s="1"/>
  <c r="AO648" i="2"/>
  <c r="AO649" i="2" s="1"/>
  <c r="AA648" i="2"/>
  <c r="CH624" i="2"/>
  <c r="CI624" i="2"/>
  <c r="BM648" i="2"/>
  <c r="BM650" i="2" s="1"/>
  <c r="BM131" i="2" s="1"/>
  <c r="AT648" i="2"/>
  <c r="AE648" i="2"/>
  <c r="AE649" i="2" s="1"/>
  <c r="CG648" i="2"/>
  <c r="R73" i="551"/>
  <c r="V207" i="753"/>
  <c r="V189" i="753"/>
  <c r="V175" i="753"/>
  <c r="I65" i="551"/>
  <c r="H27" i="551"/>
  <c r="AM11" i="2"/>
  <c r="AM144" i="2"/>
  <c r="AM13" i="2" s="1"/>
  <c r="AQ144" i="2"/>
  <c r="AQ13" i="2" s="1"/>
  <c r="AM650" i="2"/>
  <c r="P71" i="551"/>
  <c r="V22" i="2"/>
  <c r="V23" i="2"/>
  <c r="BF23" i="2"/>
  <c r="BF22" i="2"/>
  <c r="Y70" i="2"/>
  <c r="Y47" i="2"/>
  <c r="AC48" i="2" s="1"/>
  <c r="Y81" i="2"/>
  <c r="Y54" i="2"/>
  <c r="AP23" i="2"/>
  <c r="AP22" i="2"/>
  <c r="BY44" i="2"/>
  <c r="BY38" i="2"/>
  <c r="BY179" i="2"/>
  <c r="AR23" i="2"/>
  <c r="AR22" i="2"/>
  <c r="S38" i="2"/>
  <c r="S44" i="2"/>
  <c r="AG99" i="2"/>
  <c r="AG93" i="2"/>
  <c r="CA130" i="2"/>
  <c r="CA139" i="2"/>
  <c r="AG78" i="2"/>
  <c r="AC82" i="2"/>
  <c r="AC98" i="2" s="1"/>
  <c r="AC104" i="2" s="1"/>
  <c r="CG143" i="2"/>
  <c r="I32" i="686"/>
  <c r="I72" i="686" s="1"/>
  <c r="I112" i="686" s="1"/>
  <c r="AE277" i="2"/>
  <c r="AI277" i="2"/>
  <c r="BX103" i="2"/>
  <c r="BX477" i="2"/>
  <c r="CF199" i="2"/>
  <c r="CD390" i="2"/>
  <c r="CE390" i="2"/>
  <c r="BX389" i="2"/>
  <c r="BY389" i="2"/>
  <c r="K249" i="2"/>
  <c r="O249" i="2"/>
  <c r="CA375" i="2"/>
  <c r="AB443" i="2"/>
  <c r="AF443" i="2"/>
  <c r="AB444" i="2"/>
  <c r="AB452" i="2"/>
  <c r="AH462" i="2"/>
  <c r="AH463" i="2"/>
  <c r="AH464" i="2" s="1"/>
  <c r="AH460" i="2"/>
  <c r="CB388" i="2"/>
  <c r="AO455" i="2"/>
  <c r="AO457" i="2"/>
  <c r="AO459" i="2" s="1"/>
  <c r="R462" i="2"/>
  <c r="R460" i="2"/>
  <c r="R463" i="2"/>
  <c r="R464" i="2" s="1"/>
  <c r="G101" i="686"/>
  <c r="G102" i="686"/>
  <c r="O69" i="412"/>
  <c r="Y27" i="686"/>
  <c r="P27" i="686"/>
  <c r="Q27" i="686" s="1"/>
  <c r="R27" i="686" s="1"/>
  <c r="S27" i="686" s="1"/>
  <c r="T27" i="686" s="1"/>
  <c r="E77" i="412"/>
  <c r="F77" i="412"/>
  <c r="H77" i="412"/>
  <c r="G77" i="412"/>
  <c r="E96" i="412"/>
  <c r="X54" i="412"/>
  <c r="X46" i="1"/>
  <c r="X54" i="1"/>
  <c r="X55" i="1" s="1"/>
  <c r="X45" i="1"/>
  <c r="BC652" i="2"/>
  <c r="AO652" i="2"/>
  <c r="AA652" i="2"/>
  <c r="AA152" i="2" s="1"/>
  <c r="BH652" i="2"/>
  <c r="BH152" i="2" s="1"/>
  <c r="CH628" i="2"/>
  <c r="CI628" i="2"/>
  <c r="BI648" i="2"/>
  <c r="BI649" i="2" s="1"/>
  <c r="AT652" i="2"/>
  <c r="AE652" i="2"/>
  <c r="AY81" i="2"/>
  <c r="AY47" i="2"/>
  <c r="AY54" i="2"/>
  <c r="AY55" i="2"/>
  <c r="AY70" i="2"/>
  <c r="AY53" i="2"/>
  <c r="J154" i="753"/>
  <c r="K152" i="753"/>
  <c r="K154" i="753" s="1"/>
  <c r="F207" i="753"/>
  <c r="L175" i="753"/>
  <c r="H207" i="753"/>
  <c r="H189" i="753"/>
  <c r="H175" i="753"/>
  <c r="X218" i="753"/>
  <c r="Y216" i="753"/>
  <c r="Y218" i="753" s="1"/>
  <c r="W207" i="753"/>
  <c r="W189" i="753"/>
  <c r="W175" i="753"/>
  <c r="N175" i="753"/>
  <c r="O189" i="753"/>
  <c r="N207" i="753"/>
  <c r="K30" i="565"/>
  <c r="L68" i="565"/>
  <c r="K65" i="565"/>
  <c r="Q127" i="565"/>
  <c r="R73" i="565"/>
  <c r="P67" i="565"/>
  <c r="AN12" i="2"/>
  <c r="AR12" i="2"/>
  <c r="BE11" i="2"/>
  <c r="BE144" i="2"/>
  <c r="BE13" i="2" s="1"/>
  <c r="BI144" i="2"/>
  <c r="BI13" i="2" s="1"/>
  <c r="BE650" i="2"/>
  <c r="AP44" i="2"/>
  <c r="AP38" i="2"/>
  <c r="AP52" i="2"/>
  <c r="AP179" i="2"/>
  <c r="AP175" i="2"/>
  <c r="AK38" i="2"/>
  <c r="AK52" i="2"/>
  <c r="AO38" i="2"/>
  <c r="AK44" i="2"/>
  <c r="AK179" i="2"/>
  <c r="AK175" i="2"/>
  <c r="AM52" i="2"/>
  <c r="AM44" i="2"/>
  <c r="AM38" i="2"/>
  <c r="AQ38" i="2"/>
  <c r="AM175" i="2"/>
  <c r="AM179" i="2"/>
  <c r="J23" i="2"/>
  <c r="J22" i="2"/>
  <c r="Q64" i="753"/>
  <c r="Q66" i="753" s="1"/>
  <c r="R82" i="2"/>
  <c r="R98" i="2" s="1"/>
  <c r="R104" i="2" s="1"/>
  <c r="N105" i="2"/>
  <c r="AC55" i="2"/>
  <c r="BT139" i="2"/>
  <c r="BS163" i="2"/>
  <c r="BR130" i="2"/>
  <c r="BS130" i="2"/>
  <c r="R39" i="753"/>
  <c r="R25" i="753"/>
  <c r="CF143" i="2"/>
  <c r="H32" i="686"/>
  <c r="H72" i="686" s="1"/>
  <c r="H112" i="686" s="1"/>
  <c r="G61" i="412"/>
  <c r="G61" i="411"/>
  <c r="G61" i="1"/>
  <c r="AB277" i="2"/>
  <c r="BZ272" i="2"/>
  <c r="BZ277" i="2" s="1"/>
  <c r="BW107" i="2"/>
  <c r="BW277" i="2"/>
  <c r="CC95" i="2"/>
  <c r="E41" i="412"/>
  <c r="E42" i="412" s="1"/>
  <c r="E41" i="411"/>
  <c r="E42" i="411" s="1"/>
  <c r="E41" i="1"/>
  <c r="E42" i="1" s="1"/>
  <c r="BV319" i="2"/>
  <c r="BV333" i="2"/>
  <c r="CC319" i="2"/>
  <c r="CB276" i="2"/>
  <c r="CC276" i="2"/>
  <c r="BF455" i="2"/>
  <c r="BF457" i="2"/>
  <c r="BF459" i="2" s="1"/>
  <c r="I463" i="2"/>
  <c r="M464" i="2" s="1"/>
  <c r="I462" i="2"/>
  <c r="CF388" i="2"/>
  <c r="G107" i="686"/>
  <c r="E95" i="411"/>
  <c r="J56" i="686"/>
  <c r="X54" i="686"/>
  <c r="J62" i="686"/>
  <c r="J55" i="686"/>
  <c r="BI152" i="2"/>
  <c r="BI153" i="2"/>
  <c r="BI15" i="2" s="1"/>
  <c r="CE648" i="2"/>
  <c r="R36" i="562"/>
  <c r="P72" i="562"/>
  <c r="O34" i="562"/>
  <c r="J66" i="551"/>
  <c r="I28" i="551"/>
  <c r="CG26" i="2"/>
  <c r="CG27" i="2"/>
  <c r="P23" i="2"/>
  <c r="P22" i="2"/>
  <c r="N98" i="551"/>
  <c r="N125" i="551" s="1"/>
  <c r="O33" i="551" s="1"/>
  <c r="N178" i="551"/>
  <c r="AI144" i="2"/>
  <c r="AI13" i="2" s="1"/>
  <c r="AI11" i="2"/>
  <c r="AI650" i="2"/>
  <c r="CB26" i="2"/>
  <c r="CB27" i="2"/>
  <c r="BU38" i="2"/>
  <c r="BU44" i="2"/>
  <c r="BU179" i="2"/>
  <c r="X44" i="2"/>
  <c r="X38" i="2"/>
  <c r="BO27" i="2"/>
  <c r="Y23" i="2"/>
  <c r="Y22" i="2"/>
  <c r="BZ38" i="2"/>
  <c r="BZ44" i="2"/>
  <c r="BZ179" i="2"/>
  <c r="BX25" i="2"/>
  <c r="BX418" i="2"/>
  <c r="BX417" i="2"/>
  <c r="BY417" i="2"/>
  <c r="BX442" i="2"/>
  <c r="R50" i="2"/>
  <c r="R49" i="2"/>
  <c r="R48" i="2"/>
  <c r="CB95" i="2"/>
  <c r="D41" i="412"/>
  <c r="D41" i="411"/>
  <c r="D41" i="1"/>
  <c r="BI83" i="2"/>
  <c r="BI85" i="2" s="1"/>
  <c r="AC49" i="2"/>
  <c r="AC50" i="2"/>
  <c r="AC188" i="2"/>
  <c r="J61" i="411"/>
  <c r="J61" i="412"/>
  <c r="J61" i="1"/>
  <c r="L347" i="2"/>
  <c r="M347" i="2"/>
  <c r="L340" i="2"/>
  <c r="Q221" i="2"/>
  <c r="Q206" i="2"/>
  <c r="U206" i="2"/>
  <c r="BT319" i="2"/>
  <c r="BT333" i="2"/>
  <c r="BT340" i="2" s="1"/>
  <c r="BO139" i="2"/>
  <c r="BO148" i="2"/>
  <c r="CA248" i="2"/>
  <c r="CB248" i="2"/>
  <c r="CB235" i="2"/>
  <c r="P277" i="2"/>
  <c r="CF378" i="2"/>
  <c r="BW390" i="2"/>
  <c r="CA340" i="2"/>
  <c r="CG376" i="2"/>
  <c r="BV439" i="2"/>
  <c r="BV440" i="2"/>
  <c r="Y10" i="686"/>
  <c r="P10" i="686"/>
  <c r="Q10" i="686" s="1"/>
  <c r="R10" i="686" s="1"/>
  <c r="S10" i="686" s="1"/>
  <c r="T10" i="686" s="1"/>
  <c r="H111" i="686"/>
  <c r="H113" i="686"/>
  <c r="H117" i="686"/>
  <c r="H114" i="686"/>
  <c r="H115" i="686"/>
  <c r="H152" i="2"/>
  <c r="H153" i="2"/>
  <c r="H15" i="2" s="1"/>
  <c r="BF153" i="2"/>
  <c r="BF15" i="2" s="1"/>
  <c r="BF152" i="2"/>
  <c r="AR152" i="2"/>
  <c r="AR153" i="2"/>
  <c r="AR15" i="2" s="1"/>
  <c r="AF152" i="2"/>
  <c r="AF153" i="2"/>
  <c r="AF15" i="2" s="1"/>
  <c r="AW153" i="2"/>
  <c r="AW15" i="2" s="1"/>
  <c r="AW152" i="2"/>
  <c r="S152" i="2"/>
  <c r="S153" i="2"/>
  <c r="S15" i="2" s="1"/>
  <c r="AK652" i="2"/>
  <c r="AL652" i="2"/>
  <c r="AB193" i="753"/>
  <c r="Z167" i="753"/>
  <c r="Z174" i="753"/>
  <c r="AA165" i="753"/>
  <c r="AA167" i="753" s="1"/>
  <c r="Z170" i="753"/>
  <c r="AA189" i="753" s="1"/>
  <c r="R202" i="753"/>
  <c r="R178" i="753"/>
  <c r="R181" i="753"/>
  <c r="R187" i="753"/>
  <c r="R193" i="753" s="1"/>
  <c r="R166" i="753"/>
  <c r="I189" i="753"/>
  <c r="L95" i="562"/>
  <c r="L122" i="562" s="1"/>
  <c r="M30" i="562" s="1"/>
  <c r="G20" i="562"/>
  <c r="G64" i="562"/>
  <c r="AF23" i="2"/>
  <c r="AF22" i="2"/>
  <c r="AL22" i="2"/>
  <c r="AL23" i="2"/>
  <c r="BM175" i="2"/>
  <c r="BI176" i="2"/>
  <c r="BI177" i="2"/>
  <c r="BG23" i="2"/>
  <c r="BG22" i="2"/>
  <c r="BF44" i="2"/>
  <c r="BF38" i="2"/>
  <c r="BF52" i="2"/>
  <c r="BJ53" i="2" s="1"/>
  <c r="BF179" i="2"/>
  <c r="BF175" i="2"/>
  <c r="AA23" i="2"/>
  <c r="AA22" i="2"/>
  <c r="BC52" i="2"/>
  <c r="BC44" i="2"/>
  <c r="BC38" i="2"/>
  <c r="BG38" i="2"/>
  <c r="BC175" i="2"/>
  <c r="BC179" i="2"/>
  <c r="AI38" i="2"/>
  <c r="AI52" i="2"/>
  <c r="AI44" i="2"/>
  <c r="AI175" i="2"/>
  <c r="AI179" i="2"/>
  <c r="BX135" i="2"/>
  <c r="BY135" i="2"/>
  <c r="BX140" i="2"/>
  <c r="BY164" i="2"/>
  <c r="BZ140" i="2"/>
  <c r="BX131" i="2"/>
  <c r="BY131" i="2"/>
  <c r="BX184" i="2"/>
  <c r="BX125" i="2"/>
  <c r="CD143" i="2"/>
  <c r="F32" i="686"/>
  <c r="F72" i="686" s="1"/>
  <c r="F112" i="686" s="1"/>
  <c r="AC73" i="2"/>
  <c r="AC76" i="2"/>
  <c r="AC71" i="2"/>
  <c r="AG73" i="2"/>
  <c r="AC72" i="2"/>
  <c r="AC89" i="2"/>
  <c r="AC91" i="2" s="1"/>
  <c r="AG92" i="2" s="1"/>
  <c r="AB340" i="2"/>
  <c r="AB347" i="2"/>
  <c r="AC347" i="2"/>
  <c r="AG221" i="2"/>
  <c r="AG206" i="2"/>
  <c r="AK206" i="2"/>
  <c r="BB107" i="2"/>
  <c r="BY242" i="2"/>
  <c r="BY235" i="2"/>
  <c r="BZ235" i="2"/>
  <c r="Z277" i="2"/>
  <c r="BZ206" i="2"/>
  <c r="BT277" i="2"/>
  <c r="AA249" i="2"/>
  <c r="AE249" i="2"/>
  <c r="CD388" i="2"/>
  <c r="CG390" i="2"/>
  <c r="CG444" i="2"/>
  <c r="AR440" i="2"/>
  <c r="AR439" i="2"/>
  <c r="AV439" i="2"/>
  <c r="CC389" i="2"/>
  <c r="CF374" i="2"/>
  <c r="S457" i="2"/>
  <c r="S459" i="2" s="1"/>
  <c r="S455" i="2"/>
  <c r="BV452" i="2"/>
  <c r="BV444" i="2"/>
  <c r="BV443" i="2"/>
  <c r="BW443" i="2"/>
  <c r="BY463" i="2"/>
  <c r="BY462" i="2"/>
  <c r="X67" i="686"/>
  <c r="K67" i="686"/>
  <c r="L67" i="686" s="1"/>
  <c r="M67" i="686" s="1"/>
  <c r="N67" i="686" s="1"/>
  <c r="O67" i="686" s="1"/>
  <c r="H101" i="686"/>
  <c r="AM648" i="2"/>
  <c r="Y648" i="2"/>
  <c r="Y649" i="2" s="1"/>
  <c r="CC648" i="2"/>
  <c r="AS648" i="2"/>
  <c r="AS649" i="2" s="1"/>
  <c r="AD648" i="2"/>
  <c r="O648" i="2"/>
  <c r="O649" i="2" s="1"/>
  <c r="M170" i="753"/>
  <c r="N189" i="753" s="1"/>
  <c r="N165" i="753"/>
  <c r="N167" i="753" s="1"/>
  <c r="M174" i="753"/>
  <c r="M167" i="753"/>
  <c r="O125" i="562"/>
  <c r="P33" i="562" s="1"/>
  <c r="P71" i="562"/>
  <c r="AW11" i="2"/>
  <c r="AW144" i="2"/>
  <c r="AW13" i="2" s="1"/>
  <c r="AW650" i="2"/>
  <c r="AW649" i="2" s="1"/>
  <c r="AV23" i="2"/>
  <c r="AV22" i="2"/>
  <c r="CE21" i="2"/>
  <c r="CE27" i="2"/>
  <c r="CE26" i="2"/>
  <c r="BJ54" i="2"/>
  <c r="BN59" i="2"/>
  <c r="BJ58" i="2"/>
  <c r="BN66" i="2"/>
  <c r="BJ47" i="2"/>
  <c r="BJ55" i="2"/>
  <c r="BJ70" i="2"/>
  <c r="BJ81" i="2"/>
  <c r="AO53" i="2"/>
  <c r="AO55" i="2"/>
  <c r="AO70" i="2"/>
  <c r="AO54" i="2"/>
  <c r="AO47" i="2"/>
  <c r="AO81" i="2"/>
  <c r="BT50" i="2"/>
  <c r="BT48" i="2"/>
  <c r="BT188" i="2"/>
  <c r="BT189" i="2" s="1"/>
  <c r="BA38" i="2"/>
  <c r="BA44" i="2"/>
  <c r="BA52" i="2"/>
  <c r="BE38" i="2"/>
  <c r="BA175" i="2"/>
  <c r="BA179" i="2"/>
  <c r="BV81" i="2"/>
  <c r="BV47" i="2"/>
  <c r="BV54" i="2"/>
  <c r="BV53" i="2"/>
  <c r="BV55" i="2"/>
  <c r="BW53" i="2"/>
  <c r="BW55" i="2"/>
  <c r="BV70" i="2"/>
  <c r="BX10" i="2"/>
  <c r="BX12" i="2" s="1"/>
  <c r="BY10" i="2"/>
  <c r="BX42" i="2"/>
  <c r="BX21" i="2"/>
  <c r="BX41" i="2"/>
  <c r="AT23" i="2"/>
  <c r="AT22" i="2"/>
  <c r="BW143" i="2"/>
  <c r="BX143" i="2"/>
  <c r="AR340" i="2"/>
  <c r="AR347" i="2"/>
  <c r="AS347" i="2"/>
  <c r="CA263" i="2"/>
  <c r="CB263" i="2"/>
  <c r="CA242" i="2"/>
  <c r="CA245" i="2"/>
  <c r="CB245" i="2"/>
  <c r="F61" i="412"/>
  <c r="F61" i="411"/>
  <c r="F61" i="1"/>
  <c r="Y455" i="2"/>
  <c r="Y457" i="2"/>
  <c r="Y459" i="2" s="1"/>
  <c r="CE319" i="2"/>
  <c r="CF391" i="2"/>
  <c r="CG391" i="2"/>
  <c r="CD442" i="2"/>
  <c r="AR443" i="2"/>
  <c r="AV443" i="2"/>
  <c r="AR444" i="2"/>
  <c r="AR452" i="2"/>
  <c r="CC391" i="2"/>
  <c r="H439" i="2"/>
  <c r="D440" i="2"/>
  <c r="AM152" i="2"/>
  <c r="AM153" i="2"/>
  <c r="AM15" i="2" s="1"/>
  <c r="Y152" i="2"/>
  <c r="Y153" i="2"/>
  <c r="Y15" i="2" s="1"/>
  <c r="K152" i="2"/>
  <c r="K153" i="2"/>
  <c r="K15" i="2" s="1"/>
  <c r="AS152" i="2"/>
  <c r="AS153" i="2"/>
  <c r="AS15" i="2" s="1"/>
  <c r="O652" i="2"/>
  <c r="AC126" i="753"/>
  <c r="AC130" i="753"/>
  <c r="AC124" i="753"/>
  <c r="AD130" i="753"/>
  <c r="Q35" i="551"/>
  <c r="AB184" i="753"/>
  <c r="AC184" i="753" s="1"/>
  <c r="AD184" i="753" s="1"/>
  <c r="S184" i="753"/>
  <c r="G62" i="565"/>
  <c r="T74" i="565"/>
  <c r="K94" i="562"/>
  <c r="K121" i="562" s="1"/>
  <c r="L29" i="562" s="1"/>
  <c r="F62" i="551"/>
  <c r="E24" i="551"/>
  <c r="N97" i="551"/>
  <c r="N124" i="551" s="1"/>
  <c r="O32" i="551" s="1"/>
  <c r="BA144" i="2"/>
  <c r="BA13" i="2" s="1"/>
  <c r="BR23" i="2"/>
  <c r="BR22" i="2"/>
  <c r="BS22" i="2"/>
  <c r="L178" i="551"/>
  <c r="AH23" i="2"/>
  <c r="AH22" i="2"/>
  <c r="H23" i="2"/>
  <c r="H22" i="2"/>
  <c r="AN44" i="2"/>
  <c r="CC32" i="2"/>
  <c r="AN38" i="2"/>
  <c r="AN179" i="2"/>
  <c r="AN175" i="2"/>
  <c r="AD38" i="2"/>
  <c r="AA50" i="2"/>
  <c r="CC143" i="2"/>
  <c r="E32" i="686"/>
  <c r="E72" i="686" s="1"/>
  <c r="E112" i="686" s="1"/>
  <c r="BW83" i="2"/>
  <c r="BW85" i="2" s="1"/>
  <c r="AC53" i="2"/>
  <c r="CE143" i="2"/>
  <c r="G32" i="686"/>
  <c r="G72" i="686" s="1"/>
  <c r="G112" i="686" s="1"/>
  <c r="BH340" i="2"/>
  <c r="BH347" i="2"/>
  <c r="BI347" i="2"/>
  <c r="CG272" i="2"/>
  <c r="CG277" i="2" s="1"/>
  <c r="CG263" i="2"/>
  <c r="CA277" i="2"/>
  <c r="CA246" i="2"/>
  <c r="CB246" i="2"/>
  <c r="V439" i="2"/>
  <c r="V440" i="2"/>
  <c r="CA455" i="2"/>
  <c r="BV392" i="2"/>
  <c r="BS457" i="2"/>
  <c r="BS459" i="2" s="1"/>
  <c r="BS460" i="2" s="1"/>
  <c r="BS455" i="2"/>
  <c r="AN459" i="2"/>
  <c r="K14" i="686"/>
  <c r="K22" i="686" s="1"/>
  <c r="L20" i="686"/>
  <c r="L60" i="686"/>
  <c r="CD648" i="2"/>
  <c r="CD649" i="2" s="1"/>
  <c r="AX652" i="2"/>
  <c r="T648" i="2"/>
  <c r="T649" i="2" s="1"/>
  <c r="U648" i="2"/>
  <c r="U649" i="2" s="1"/>
  <c r="V648" i="2"/>
  <c r="V649" i="2" s="1"/>
  <c r="CE41" i="2"/>
  <c r="CE35" i="2"/>
  <c r="CF35" i="2"/>
  <c r="AX23" i="2"/>
  <c r="AX22" i="2"/>
  <c r="X23" i="2"/>
  <c r="X22" i="2"/>
  <c r="AB22" i="2"/>
  <c r="AO23" i="2"/>
  <c r="AO22" i="2"/>
  <c r="BV23" i="2"/>
  <c r="Q48" i="2"/>
  <c r="AY38" i="2"/>
  <c r="AY44" i="2"/>
  <c r="AY175" i="2"/>
  <c r="AY179" i="2"/>
  <c r="BB22" i="2"/>
  <c r="BB23" i="2"/>
  <c r="CD37" i="2"/>
  <c r="CD43" i="2"/>
  <c r="AA76" i="2"/>
  <c r="AA72" i="2"/>
  <c r="AA89" i="2"/>
  <c r="AA91" i="2" s="1"/>
  <c r="CB139" i="2"/>
  <c r="CB130" i="2"/>
  <c r="D43" i="686"/>
  <c r="CD139" i="2"/>
  <c r="CD130" i="2"/>
  <c r="CE130" i="2"/>
  <c r="F43" i="686"/>
  <c r="AS82" i="2"/>
  <c r="AS98" i="2" s="1"/>
  <c r="AS104" i="2" s="1"/>
  <c r="AS83" i="2"/>
  <c r="AS85" i="2" s="1"/>
  <c r="CC163" i="2"/>
  <c r="BX107" i="2"/>
  <c r="AM206" i="2"/>
  <c r="AM221" i="2"/>
  <c r="CE107" i="2"/>
  <c r="G64" i="411"/>
  <c r="G64" i="1"/>
  <c r="G64" i="412"/>
  <c r="CD336" i="2"/>
  <c r="CE336" i="2"/>
  <c r="AH277" i="2"/>
  <c r="CB376" i="2"/>
  <c r="CC376" i="2"/>
  <c r="AI452" i="2"/>
  <c r="AI444" i="2"/>
  <c r="AI443" i="2"/>
  <c r="AM443" i="2"/>
  <c r="V452" i="2"/>
  <c r="V444" i="2"/>
  <c r="V443" i="2"/>
  <c r="AA455" i="2"/>
  <c r="AA457" i="2"/>
  <c r="AA459" i="2" s="1"/>
  <c r="BH440" i="2"/>
  <c r="BH439" i="2"/>
  <c r="BX374" i="2"/>
  <c r="BU457" i="2"/>
  <c r="BU459" i="2" s="1"/>
  <c r="BU455" i="2"/>
  <c r="T439" i="2"/>
  <c r="X439" i="2"/>
  <c r="T440" i="2"/>
  <c r="W77" i="411"/>
  <c r="X77" i="411"/>
  <c r="I77" i="411"/>
  <c r="W78" i="411"/>
  <c r="X78" i="411"/>
  <c r="W79" i="411"/>
  <c r="X79" i="411"/>
  <c r="W81" i="411"/>
  <c r="X81" i="411"/>
  <c r="W80" i="411"/>
  <c r="J88" i="411"/>
  <c r="D96" i="411"/>
  <c r="X80" i="411"/>
  <c r="F110" i="686"/>
  <c r="E107" i="686"/>
  <c r="E108" i="686" s="1"/>
  <c r="BD652" i="2"/>
  <c r="BD152" i="2" s="1"/>
  <c r="AP652" i="2"/>
  <c r="AB652" i="2"/>
  <c r="P652" i="2"/>
  <c r="AG652" i="2"/>
  <c r="AX648" i="2"/>
  <c r="AX649" i="2" s="1"/>
  <c r="T652" i="2"/>
  <c r="U652" i="2"/>
  <c r="U152" i="2" s="1"/>
  <c r="V652" i="2"/>
  <c r="V152" i="2" s="1"/>
  <c r="K175" i="753"/>
  <c r="G207" i="753"/>
  <c r="G189" i="753"/>
  <c r="J190" i="753"/>
  <c r="J188" i="753"/>
  <c r="M20" i="565"/>
  <c r="M70" i="565"/>
  <c r="O33" i="565"/>
  <c r="S74" i="562"/>
  <c r="M193" i="753"/>
  <c r="I193" i="753"/>
  <c r="Q219" i="753"/>
  <c r="H63" i="565"/>
  <c r="K66" i="565"/>
  <c r="H65" i="562"/>
  <c r="H20" i="562"/>
  <c r="J93" i="562"/>
  <c r="J120" i="562" s="1"/>
  <c r="K28" i="562" s="1"/>
  <c r="R70" i="551"/>
  <c r="CF37" i="2"/>
  <c r="CG37" i="2"/>
  <c r="CF43" i="2"/>
  <c r="AS12" i="2"/>
  <c r="BU131" i="2"/>
  <c r="BV131" i="2"/>
  <c r="BV650" i="2" s="1"/>
  <c r="BV649" i="2" s="1"/>
  <c r="BU125" i="2"/>
  <c r="BU140" i="2"/>
  <c r="BW140" i="2"/>
  <c r="BU184" i="2"/>
  <c r="BV164" i="2"/>
  <c r="AL144" i="2"/>
  <c r="AL13" i="2" s="1"/>
  <c r="AH11" i="2"/>
  <c r="AH144" i="2"/>
  <c r="AH13" i="2" s="1"/>
  <c r="AH650" i="2"/>
  <c r="AN23" i="2"/>
  <c r="AN22" i="2"/>
  <c r="BS54" i="2"/>
  <c r="BS53" i="2"/>
  <c r="BS47" i="2"/>
  <c r="BS55" i="2"/>
  <c r="BT53" i="2"/>
  <c r="BT55" i="2"/>
  <c r="BS70" i="2"/>
  <c r="BS81" i="2"/>
  <c r="BO179" i="2"/>
  <c r="L38" i="2"/>
  <c r="AT38" i="2"/>
  <c r="CE37" i="2"/>
  <c r="I54" i="2"/>
  <c r="I70" i="2"/>
  <c r="I47" i="2"/>
  <c r="M48" i="2" s="1"/>
  <c r="I81" i="2"/>
  <c r="P38" i="2"/>
  <c r="P44" i="2"/>
  <c r="BI73" i="2"/>
  <c r="BI76" i="2"/>
  <c r="BI89" i="2"/>
  <c r="BI91" i="2" s="1"/>
  <c r="BI72" i="2"/>
  <c r="AZ22" i="2"/>
  <c r="BX44" i="2"/>
  <c r="BX38" i="2"/>
  <c r="BX179" i="2"/>
  <c r="BX95" i="2"/>
  <c r="CD172" i="2"/>
  <c r="CG220" i="2"/>
  <c r="CG215" i="2"/>
  <c r="I23" i="412"/>
  <c r="I23" i="1"/>
  <c r="I23" i="411"/>
  <c r="Q105" i="2"/>
  <c r="BC206" i="2"/>
  <c r="BC221" i="2"/>
  <c r="BT83" i="2"/>
  <c r="AY452" i="2"/>
  <c r="AY444" i="2"/>
  <c r="AY443" i="2"/>
  <c r="BC443" i="2"/>
  <c r="BX377" i="2"/>
  <c r="AL439" i="2"/>
  <c r="AL440" i="2"/>
  <c r="AW457" i="2"/>
  <c r="CE452" i="2"/>
  <c r="CE455" i="2" s="1"/>
  <c r="AW455" i="2"/>
  <c r="CF340" i="2"/>
  <c r="BH443" i="2"/>
  <c r="BH452" i="2"/>
  <c r="BH444" i="2"/>
  <c r="BZ392" i="2"/>
  <c r="M460" i="2"/>
  <c r="BY375" i="2"/>
  <c r="CF399" i="2"/>
  <c r="AQ455" i="2"/>
  <c r="AQ457" i="2"/>
  <c r="AQ459" i="2" s="1"/>
  <c r="T452" i="2"/>
  <c r="T444" i="2"/>
  <c r="T443" i="2"/>
  <c r="G113" i="686"/>
  <c r="F74" i="686"/>
  <c r="F75" i="686"/>
  <c r="F71" i="686"/>
  <c r="F73" i="686"/>
  <c r="F77" i="686"/>
  <c r="G71" i="686"/>
  <c r="X77" i="1"/>
  <c r="X78" i="1"/>
  <c r="X81" i="1"/>
  <c r="X79" i="1"/>
  <c r="X80" i="1"/>
  <c r="W648" i="2"/>
  <c r="CA648" i="2"/>
  <c r="BG648" i="2"/>
  <c r="AC648" i="2"/>
  <c r="AC649" i="2" s="1"/>
  <c r="N648" i="2"/>
  <c r="N649" i="2" s="1"/>
  <c r="BL652" i="2"/>
  <c r="AG144" i="2"/>
  <c r="AG13" i="2" s="1"/>
  <c r="AK144" i="2"/>
  <c r="AK13" i="2" s="1"/>
  <c r="AG11" i="2"/>
  <c r="AG650" i="2"/>
  <c r="AG649" i="2" s="1"/>
  <c r="BU10" i="2"/>
  <c r="BU12" i="2" s="1"/>
  <c r="BV10" i="2"/>
  <c r="BU21" i="2"/>
  <c r="BU43" i="2"/>
  <c r="BU42" i="2"/>
  <c r="BU47" i="2"/>
  <c r="BD23" i="2"/>
  <c r="BD22" i="2"/>
  <c r="CE36" i="2"/>
  <c r="CE42" i="2"/>
  <c r="BD44" i="2"/>
  <c r="BD38" i="2"/>
  <c r="CG32" i="2"/>
  <c r="BD179" i="2"/>
  <c r="BD175" i="2"/>
  <c r="BK32" i="2"/>
  <c r="BK181" i="2"/>
  <c r="BK180" i="2"/>
  <c r="AB53" i="2"/>
  <c r="AB55" i="2"/>
  <c r="AB54" i="2"/>
  <c r="AB47" i="2"/>
  <c r="AB81" i="2"/>
  <c r="AB70" i="2"/>
  <c r="CA11" i="2"/>
  <c r="CA144" i="2"/>
  <c r="CA13" i="2" s="1"/>
  <c r="CA650" i="2"/>
  <c r="CA649" i="2" s="1"/>
  <c r="AQ23" i="2"/>
  <c r="AQ22" i="2"/>
  <c r="AF38" i="2"/>
  <c r="AF44" i="2"/>
  <c r="AF175" i="2"/>
  <c r="AF179" i="2"/>
  <c r="K23" i="2"/>
  <c r="K22" i="2"/>
  <c r="CB38" i="2"/>
  <c r="CB44" i="2"/>
  <c r="CB179" i="2"/>
  <c r="BM139" i="2"/>
  <c r="BM148" i="2"/>
  <c r="M82" i="2"/>
  <c r="M98" i="2" s="1"/>
  <c r="M104" i="2" s="1"/>
  <c r="AS73" i="2"/>
  <c r="AS76" i="2"/>
  <c r="AS71" i="2"/>
  <c r="AS89" i="2"/>
  <c r="AS91" i="2" s="1"/>
  <c r="AS72" i="2"/>
  <c r="CA23" i="2"/>
  <c r="CA22" i="2"/>
  <c r="AD54" i="2"/>
  <c r="AD53" i="2"/>
  <c r="AD70" i="2"/>
  <c r="AD55" i="2"/>
  <c r="AD47" i="2"/>
  <c r="AD81" i="2"/>
  <c r="CD333" i="2"/>
  <c r="CD340" i="2" s="1"/>
  <c r="CD298" i="2"/>
  <c r="H61" i="411"/>
  <c r="H61" i="412"/>
  <c r="H61" i="1"/>
  <c r="CD107" i="2"/>
  <c r="F64" i="412"/>
  <c r="F64" i="411"/>
  <c r="F64" i="1"/>
  <c r="CF172" i="2"/>
  <c r="BY221" i="2"/>
  <c r="BY206" i="2"/>
  <c r="BY107" i="2"/>
  <c r="CC333" i="2"/>
  <c r="CC340" i="2" s="1"/>
  <c r="CC298" i="2"/>
  <c r="AL452" i="2"/>
  <c r="AL444" i="2"/>
  <c r="AL443" i="2"/>
  <c r="CA460" i="2"/>
  <c r="CA463" i="2"/>
  <c r="CA464" i="2" s="1"/>
  <c r="CA462" i="2"/>
  <c r="CC443" i="2"/>
  <c r="CC444" i="2"/>
  <c r="CF408" i="2"/>
  <c r="CE392" i="2"/>
  <c r="J15" i="686"/>
  <c r="J16" i="686"/>
  <c r="X14" i="686"/>
  <c r="E110" i="686"/>
  <c r="E124" i="686"/>
  <c r="Y90" i="686"/>
  <c r="P90" i="686"/>
  <c r="Q90" i="686" s="1"/>
  <c r="R90" i="686" s="1"/>
  <c r="S90" i="686" s="1"/>
  <c r="T90" i="686" s="1"/>
  <c r="W652" i="2"/>
  <c r="W152" i="2" s="1"/>
  <c r="I652" i="2"/>
  <c r="BG652" i="2"/>
  <c r="BG152" i="2" s="1"/>
  <c r="AC652" i="2"/>
  <c r="N652" i="2"/>
  <c r="BK648" i="2"/>
  <c r="BK650" i="2" s="1"/>
  <c r="BK131" i="2" s="1"/>
  <c r="P71" i="565"/>
  <c r="AT144" i="2"/>
  <c r="AT13" i="2" s="1"/>
  <c r="AT11" i="2"/>
  <c r="AT650" i="2"/>
  <c r="AT649" i="2" s="1"/>
  <c r="BE53" i="2"/>
  <c r="BE55" i="2"/>
  <c r="BE54" i="2"/>
  <c r="BI55" i="2"/>
  <c r="BI59" i="2"/>
  <c r="BE70" i="2"/>
  <c r="BE47" i="2"/>
  <c r="BE81" i="2"/>
  <c r="BN175" i="2"/>
  <c r="BO177" i="2" s="1"/>
  <c r="BJ176" i="2"/>
  <c r="BK177" i="2"/>
  <c r="BJ177" i="2"/>
  <c r="I23" i="2"/>
  <c r="I22" i="2"/>
  <c r="L53" i="2"/>
  <c r="L55" i="2"/>
  <c r="L54" i="2"/>
  <c r="L47" i="2"/>
  <c r="L81" i="2"/>
  <c r="L70" i="2"/>
  <c r="BG82" i="2"/>
  <c r="BG98" i="2" s="1"/>
  <c r="BG104" i="2" s="1"/>
  <c r="AQ50" i="2"/>
  <c r="AQ188" i="2"/>
  <c r="M49" i="2"/>
  <c r="M50" i="2"/>
  <c r="BX242" i="2"/>
  <c r="BX249" i="2" s="1"/>
  <c r="BX235" i="2"/>
  <c r="CB107" i="2"/>
  <c r="D64" i="412"/>
  <c r="D64" i="411"/>
  <c r="D64" i="1"/>
  <c r="I61" i="412"/>
  <c r="I61" i="411"/>
  <c r="I61" i="1"/>
  <c r="CF337" i="2"/>
  <c r="CG337" i="2"/>
  <c r="BU242" i="2"/>
  <c r="BU249" i="2" s="1"/>
  <c r="BU235" i="2"/>
  <c r="AX462" i="2"/>
  <c r="AX460" i="2"/>
  <c r="AX463" i="2"/>
  <c r="AX464" i="2" s="1"/>
  <c r="BD457" i="2"/>
  <c r="BD455" i="2"/>
  <c r="CG452" i="2"/>
  <c r="CG455" i="2" s="1"/>
  <c r="BZ464" i="2"/>
  <c r="AJ439" i="2"/>
  <c r="AJ440" i="2"/>
  <c r="AN439" i="2"/>
  <c r="AN648" i="2"/>
  <c r="AN649" i="2" s="1"/>
  <c r="Z648" i="2"/>
  <c r="Z649" i="2" s="1"/>
  <c r="L648" i="2"/>
  <c r="L649" i="2" s="1"/>
  <c r="Q648" i="2"/>
  <c r="Q649" i="2" s="1"/>
  <c r="AH652" i="2"/>
  <c r="AY648" i="2"/>
  <c r="AY649" i="2" s="1"/>
  <c r="BV648" i="2"/>
  <c r="BW648" i="2"/>
  <c r="BW649" i="2" s="1"/>
  <c r="J216" i="753"/>
  <c r="J218" i="753" s="1"/>
  <c r="I218" i="753"/>
  <c r="O66" i="562"/>
  <c r="F25" i="562"/>
  <c r="G63" i="562"/>
  <c r="BL59" i="2"/>
  <c r="BH58" i="2"/>
  <c r="BL66" i="2"/>
  <c r="BH54" i="2"/>
  <c r="BH81" i="2"/>
  <c r="BH70" i="2"/>
  <c r="BH47" i="2"/>
  <c r="AV38" i="2"/>
  <c r="AV44" i="2"/>
  <c r="CE32" i="2"/>
  <c r="AV175" i="2"/>
  <c r="AV179" i="2"/>
  <c r="J94" i="565"/>
  <c r="J121" i="565" s="1"/>
  <c r="K29" i="565" s="1"/>
  <c r="I178" i="565"/>
  <c r="N124" i="562"/>
  <c r="O32" i="562" s="1"/>
  <c r="O70" i="562"/>
  <c r="X47" i="2"/>
  <c r="X53" i="2"/>
  <c r="X70" i="2"/>
  <c r="X81" i="2"/>
  <c r="X54" i="2"/>
  <c r="AV52" i="2"/>
  <c r="AX50" i="2"/>
  <c r="AX48" i="2"/>
  <c r="AX188" i="2"/>
  <c r="AB38" i="2"/>
  <c r="BJ38" i="2"/>
  <c r="L23" i="2"/>
  <c r="L22" i="2"/>
  <c r="T22" i="2"/>
  <c r="W153" i="2"/>
  <c r="W15" i="2" s="1"/>
  <c r="AS53" i="2"/>
  <c r="Q39" i="753"/>
  <c r="Q25" i="753"/>
  <c r="Q27" i="753" s="1"/>
  <c r="AI249" i="2"/>
  <c r="AM249" i="2"/>
  <c r="BX272" i="2"/>
  <c r="BX277" i="2" s="1"/>
  <c r="T277" i="2"/>
  <c r="BU95" i="2"/>
  <c r="CG338" i="2"/>
  <c r="CB455" i="2"/>
  <c r="CB457" i="2"/>
  <c r="CB459" i="2" s="1"/>
  <c r="CA374" i="2"/>
  <c r="CB374" i="2"/>
  <c r="O464" i="2"/>
  <c r="AG457" i="2"/>
  <c r="AG459" i="2" s="1"/>
  <c r="AG455" i="2"/>
  <c r="BT460" i="2"/>
  <c r="AJ452" i="2"/>
  <c r="AJ444" i="2"/>
  <c r="AJ443" i="2"/>
  <c r="BN652" i="2"/>
  <c r="E74" i="686"/>
  <c r="E75" i="686"/>
  <c r="E71" i="686"/>
  <c r="E73" i="686"/>
  <c r="E77" i="686"/>
  <c r="G104" i="686"/>
  <c r="AN652" i="2"/>
  <c r="AN152" i="2" s="1"/>
  <c r="Z652" i="2"/>
  <c r="L652" i="2"/>
  <c r="L152" i="2" s="1"/>
  <c r="BO648" i="2"/>
  <c r="BO650" i="2" s="1"/>
  <c r="BO131" i="2" s="1"/>
  <c r="BO164" i="2" s="1"/>
  <c r="Q652" i="2"/>
  <c r="AH648" i="2"/>
  <c r="AY652" i="2"/>
  <c r="AY152" i="2" s="1"/>
  <c r="M179" i="565"/>
  <c r="M178" i="565" s="1"/>
  <c r="M193" i="565"/>
  <c r="N174" i="565"/>
  <c r="N178" i="565" s="1"/>
  <c r="N67" i="562"/>
  <c r="Q152" i="753"/>
  <c r="Q155" i="753" s="1"/>
  <c r="P154" i="753"/>
  <c r="E20" i="562"/>
  <c r="E62" i="562"/>
  <c r="Q20" i="551"/>
  <c r="Q74" i="551"/>
  <c r="S73" i="562"/>
  <c r="BV11" i="2"/>
  <c r="BW144" i="2"/>
  <c r="BW13" i="2" s="1"/>
  <c r="AD11" i="2"/>
  <c r="AD144" i="2"/>
  <c r="AD13" i="2" s="1"/>
  <c r="AD650" i="2"/>
  <c r="AD649" i="2" s="1"/>
  <c r="AN47" i="2"/>
  <c r="AN70" i="2"/>
  <c r="AN54" i="2"/>
  <c r="AN81" i="2"/>
  <c r="CC52" i="2"/>
  <c r="H174" i="551"/>
  <c r="H178" i="551" s="1"/>
  <c r="G193" i="551"/>
  <c r="G179" i="551"/>
  <c r="G178" i="551" s="1"/>
  <c r="D52" i="2"/>
  <c r="D44" i="2"/>
  <c r="W22" i="2"/>
  <c r="W23" i="2"/>
  <c r="AH54" i="2"/>
  <c r="AH47" i="2"/>
  <c r="AH55" i="2"/>
  <c r="AH81" i="2"/>
  <c r="AH53" i="2"/>
  <c r="AH70" i="2"/>
  <c r="BE23" i="2"/>
  <c r="BE22" i="2"/>
  <c r="CG42" i="2"/>
  <c r="CG36" i="2"/>
  <c r="CD38" i="2"/>
  <c r="CD44" i="2"/>
  <c r="CD179" i="2"/>
  <c r="BH23" i="2"/>
  <c r="BH22" i="2"/>
  <c r="E52" i="2"/>
  <c r="I55" i="2" s="1"/>
  <c r="E44" i="2"/>
  <c r="O47" i="2"/>
  <c r="O54" i="2"/>
  <c r="O81" i="2"/>
  <c r="O55" i="2"/>
  <c r="O53" i="2"/>
  <c r="O70" i="2"/>
  <c r="AJ22" i="2"/>
  <c r="BF12" i="2"/>
  <c r="BU81" i="2"/>
  <c r="BU54" i="2"/>
  <c r="BU53" i="2"/>
  <c r="BU55" i="2"/>
  <c r="BU70" i="2"/>
  <c r="BU76" i="2" s="1"/>
  <c r="W11" i="2"/>
  <c r="W144" i="2"/>
  <c r="W13" i="2" s="1"/>
  <c r="W650" i="2"/>
  <c r="W649" i="2" s="1"/>
  <c r="E48" i="411"/>
  <c r="E48" i="412"/>
  <c r="E48" i="1"/>
  <c r="M76" i="2"/>
  <c r="Q77" i="2" s="1"/>
  <c r="M71" i="2"/>
  <c r="M89" i="2"/>
  <c r="M91" i="2" s="1"/>
  <c r="M72" i="2"/>
  <c r="AD23" i="2"/>
  <c r="AD22" i="2"/>
  <c r="I29" i="412"/>
  <c r="I34" i="412" s="1"/>
  <c r="I29" i="1"/>
  <c r="I34" i="1" s="1"/>
  <c r="I29" i="411"/>
  <c r="I34" i="411" s="1"/>
  <c r="AJ277" i="2"/>
  <c r="CB272" i="2"/>
  <c r="CC139" i="2"/>
  <c r="CE272" i="2"/>
  <c r="CE277" i="2" s="1"/>
  <c r="CE263" i="2"/>
  <c r="AN206" i="2"/>
  <c r="AR206" i="2"/>
  <c r="J455" i="2"/>
  <c r="J457" i="2"/>
  <c r="J459" i="2" s="1"/>
  <c r="BZ107" i="2"/>
  <c r="CA107" i="2"/>
  <c r="BB439" i="2"/>
  <c r="BB440" i="2"/>
  <c r="BE455" i="2"/>
  <c r="BE457" i="2"/>
  <c r="BE459" i="2" s="1"/>
  <c r="CF400" i="2"/>
  <c r="CG400" i="2"/>
  <c r="CE439" i="2"/>
  <c r="CE440" i="2"/>
  <c r="AU608" i="2"/>
  <c r="CD608" i="2" s="1"/>
  <c r="CD606" i="2"/>
  <c r="N69" i="1"/>
  <c r="BY648" i="2"/>
  <c r="BE648" i="2"/>
  <c r="AQ648" i="2"/>
  <c r="AQ649" i="2" s="1"/>
  <c r="M648" i="2"/>
  <c r="M649" i="2" s="1"/>
  <c r="BJ648" i="2"/>
  <c r="BJ649" i="2" s="1"/>
  <c r="AU648" i="2"/>
  <c r="AU649" i="2" s="1"/>
  <c r="BZ11" i="2"/>
  <c r="BZ144" i="2"/>
  <c r="BZ13" i="2" s="1"/>
  <c r="BZ650" i="2"/>
  <c r="BZ649" i="2" s="1"/>
  <c r="BC66" i="2"/>
  <c r="J93" i="565"/>
  <c r="J120" i="565" s="1"/>
  <c r="K28" i="565" s="1"/>
  <c r="AB124" i="753"/>
  <c r="AB130" i="753"/>
  <c r="AB126" i="753"/>
  <c r="Y207" i="753"/>
  <c r="Y189" i="753"/>
  <c r="Y175" i="753"/>
  <c r="P175" i="753"/>
  <c r="P189" i="753"/>
  <c r="P207" i="753"/>
  <c r="E171" i="753"/>
  <c r="E167" i="753"/>
  <c r="I174" i="753"/>
  <c r="E170" i="753"/>
  <c r="F165" i="753"/>
  <c r="F167" i="753" s="1"/>
  <c r="AA174" i="753"/>
  <c r="X189" i="753"/>
  <c r="G25" i="565"/>
  <c r="S101" i="565"/>
  <c r="S128" i="565" s="1"/>
  <c r="T36" i="565" s="1"/>
  <c r="R166" i="562"/>
  <c r="L67" i="551"/>
  <c r="L178" i="562"/>
  <c r="CF135" i="2"/>
  <c r="CF131" i="2"/>
  <c r="CF650" i="2" s="1"/>
  <c r="CF649" i="2" s="1"/>
  <c r="CG131" i="2"/>
  <c r="CG650" i="2" s="1"/>
  <c r="CG649" i="2" s="1"/>
  <c r="CF184" i="2"/>
  <c r="CF140" i="2"/>
  <c r="CG164" i="2"/>
  <c r="CE135" i="2"/>
  <c r="CE140" i="2"/>
  <c r="CF164" i="2"/>
  <c r="CG140" i="2"/>
  <c r="CE131" i="2"/>
  <c r="CE650" i="2" s="1"/>
  <c r="CE649" i="2" s="1"/>
  <c r="CE184" i="2"/>
  <c r="CE185" i="2" s="1"/>
  <c r="BD52" i="2"/>
  <c r="BH55" i="2" s="1"/>
  <c r="BG11" i="2"/>
  <c r="BK144" i="2"/>
  <c r="BK13" i="2" s="1"/>
  <c r="BG144" i="2"/>
  <c r="BG13" i="2" s="1"/>
  <c r="BG650" i="2"/>
  <c r="BG649" i="2" s="1"/>
  <c r="BF11" i="2"/>
  <c r="BF144" i="2"/>
  <c r="BF13" i="2" s="1"/>
  <c r="BF650" i="2"/>
  <c r="BF649" i="2" s="1"/>
  <c r="T38" i="2"/>
  <c r="T52" i="2"/>
  <c r="T44" i="2"/>
  <c r="F44" i="2"/>
  <c r="F52" i="2"/>
  <c r="AM22" i="2"/>
  <c r="AM23" i="2"/>
  <c r="O179" i="551"/>
  <c r="O178" i="551" s="1"/>
  <c r="P174" i="551"/>
  <c r="P178" i="551" s="1"/>
  <c r="O193" i="551"/>
  <c r="CC41" i="2"/>
  <c r="CC35" i="2"/>
  <c r="AF52" i="2"/>
  <c r="AR38" i="2"/>
  <c r="K76" i="2"/>
  <c r="K78" i="2" s="1"/>
  <c r="K72" i="2"/>
  <c r="K89" i="2"/>
  <c r="K91" i="2" s="1"/>
  <c r="CG21" i="2"/>
  <c r="BJ23" i="2"/>
  <c r="BJ22" i="2"/>
  <c r="M22" i="2"/>
  <c r="AQ76" i="2"/>
  <c r="AQ72" i="2"/>
  <c r="AQ89" i="2"/>
  <c r="AQ91" i="2" s="1"/>
  <c r="AA11" i="2"/>
  <c r="AA144" i="2"/>
  <c r="AA13" i="2" s="1"/>
  <c r="AA650" i="2"/>
  <c r="AA649" i="2" s="1"/>
  <c r="Q71" i="2"/>
  <c r="G48" i="411"/>
  <c r="G48" i="412"/>
  <c r="G48" i="1"/>
  <c r="AA83" i="2"/>
  <c r="AA85" i="2" s="1"/>
  <c r="AA82" i="2"/>
  <c r="AA98" i="2" s="1"/>
  <c r="AA104" i="2" s="1"/>
  <c r="AU22" i="2"/>
  <c r="AX105" i="2"/>
  <c r="CF139" i="2"/>
  <c r="CD185" i="2"/>
  <c r="BY277" i="2"/>
  <c r="CE444" i="2"/>
  <c r="CE443" i="2"/>
  <c r="AF340" i="2"/>
  <c r="AN277" i="2"/>
  <c r="Z455" i="2"/>
  <c r="Z457" i="2"/>
  <c r="Z459" i="2" s="1"/>
  <c r="BB452" i="2"/>
  <c r="BB444" i="2"/>
  <c r="BB443" i="2"/>
  <c r="AE462" i="2"/>
  <c r="AE460" i="2"/>
  <c r="AE463" i="2"/>
  <c r="AF462" i="2"/>
  <c r="AF463" i="2"/>
  <c r="CC375" i="2"/>
  <c r="CG389" i="2"/>
  <c r="CI642" i="2"/>
  <c r="X39" i="412"/>
  <c r="X38" i="412"/>
  <c r="BE652" i="2"/>
  <c r="AQ652" i="2"/>
  <c r="AQ152" i="2" s="1"/>
  <c r="CH627" i="2"/>
  <c r="CI627" i="2"/>
  <c r="M652" i="2"/>
  <c r="BJ652" i="2"/>
  <c r="AU652" i="2"/>
  <c r="L20" i="562"/>
  <c r="L69" i="562"/>
  <c r="F20" i="551"/>
  <c r="F63" i="551"/>
  <c r="Q72" i="551"/>
  <c r="P126" i="551"/>
  <c r="Q34" i="551" s="1"/>
  <c r="H64" i="551"/>
  <c r="G26" i="551"/>
  <c r="BB11" i="2"/>
  <c r="BB144" i="2"/>
  <c r="BB13" i="2" s="1"/>
  <c r="BB650" i="2"/>
  <c r="BB649" i="2" s="1"/>
  <c r="BR54" i="2"/>
  <c r="BR47" i="2"/>
  <c r="BR55" i="2"/>
  <c r="BR53" i="2"/>
  <c r="BR81" i="2"/>
  <c r="AJ38" i="2"/>
  <c r="AJ52" i="2"/>
  <c r="AN55" i="2" s="1"/>
  <c r="AJ44" i="2"/>
  <c r="AJ175" i="2"/>
  <c r="AJ179" i="2"/>
  <c r="V44" i="2"/>
  <c r="V38" i="2"/>
  <c r="V52" i="2"/>
  <c r="BC22" i="2"/>
  <c r="BC23" i="2"/>
  <c r="S47" i="2"/>
  <c r="S81" i="2"/>
  <c r="S54" i="2"/>
  <c r="S55" i="2"/>
  <c r="S53" i="2"/>
  <c r="S70" i="2"/>
  <c r="J44" i="2"/>
  <c r="J38" i="2"/>
  <c r="J52" i="2"/>
  <c r="Z23" i="2"/>
  <c r="Z22" i="2"/>
  <c r="BG76" i="2"/>
  <c r="BG72" i="2"/>
  <c r="BG89" i="2"/>
  <c r="BG91" i="2" s="1"/>
  <c r="AE47" i="2"/>
  <c r="AE54" i="2"/>
  <c r="AE55" i="2"/>
  <c r="AE81" i="2"/>
  <c r="AE53" i="2"/>
  <c r="AE70" i="2"/>
  <c r="G52" i="2"/>
  <c r="G44" i="2"/>
  <c r="AS22" i="2"/>
  <c r="BY47" i="2"/>
  <c r="BY70" i="2"/>
  <c r="BY81" i="2"/>
  <c r="BY54" i="2"/>
  <c r="BU27" i="2"/>
  <c r="I48" i="411"/>
  <c r="I48" i="412"/>
  <c r="I48" i="1"/>
  <c r="Q78" i="2"/>
  <c r="R10" i="832"/>
  <c r="CF95" i="2"/>
  <c r="H41" i="412"/>
  <c r="H42" i="412" s="1"/>
  <c r="H41" i="1"/>
  <c r="H42" i="1" s="1"/>
  <c r="H41" i="411"/>
  <c r="H42" i="411" s="1"/>
  <c r="CH139" i="2"/>
  <c r="CH130" i="2"/>
  <c r="J43" i="686"/>
  <c r="BF107" i="2"/>
  <c r="CK106" i="2"/>
  <c r="BJ107" i="2"/>
  <c r="CG219" i="2"/>
  <c r="CG214" i="2"/>
  <c r="CG106" i="2"/>
  <c r="Y107" i="2"/>
  <c r="BB221" i="2"/>
  <c r="BB206" i="2"/>
  <c r="BU298" i="2"/>
  <c r="BV298" i="2"/>
  <c r="BU333" i="2"/>
  <c r="BU340" i="2" s="1"/>
  <c r="BW333" i="2"/>
  <c r="BW340" i="2" s="1"/>
  <c r="BW319" i="2"/>
  <c r="BZ376" i="2"/>
  <c r="CA376" i="2"/>
  <c r="BI216" i="2"/>
  <c r="BI221" i="2"/>
  <c r="AP455" i="2"/>
  <c r="AP457" i="2"/>
  <c r="AP459" i="2" s="1"/>
  <c r="BW242" i="2"/>
  <c r="BW249" i="2" s="1"/>
  <c r="BW235" i="2"/>
  <c r="BR460" i="2"/>
  <c r="CG377" i="2"/>
  <c r="L440" i="2"/>
  <c r="L439" i="2"/>
  <c r="P439" i="2"/>
  <c r="K463" i="2"/>
  <c r="K462" i="2"/>
  <c r="O460" i="2"/>
  <c r="BG455" i="2"/>
  <c r="BG457" i="2"/>
  <c r="BG459" i="2" s="1"/>
  <c r="AZ439" i="2"/>
  <c r="AZ440" i="2"/>
  <c r="BO652" i="2"/>
  <c r="BO640" i="2"/>
  <c r="CI640" i="2" s="1"/>
  <c r="E101" i="686"/>
  <c r="E102" i="686"/>
  <c r="J108" i="686"/>
  <c r="X107" i="686"/>
  <c r="K107" i="686"/>
  <c r="L107" i="686" s="1"/>
  <c r="M107" i="686" s="1"/>
  <c r="N107" i="686" s="1"/>
  <c r="O107" i="686" s="1"/>
  <c r="X648" i="2"/>
  <c r="X649" i="2" s="1"/>
  <c r="CB648" i="2"/>
  <c r="BL648" i="2"/>
  <c r="BL650" i="2" s="1"/>
  <c r="BL131" i="2" s="1"/>
  <c r="BN648" i="2"/>
  <c r="BN650" i="2" s="1"/>
  <c r="BN131" i="2" s="1"/>
  <c r="CF648" i="2"/>
  <c r="AV648" i="2"/>
  <c r="AV649" i="2" s="1"/>
  <c r="R652" i="2"/>
  <c r="AI648" i="2"/>
  <c r="AZ648" i="2"/>
  <c r="AZ649" i="2" s="1"/>
  <c r="G20" i="565"/>
  <c r="G64" i="565"/>
  <c r="L31" i="551"/>
  <c r="M69" i="551"/>
  <c r="H47" i="2"/>
  <c r="H55" i="2"/>
  <c r="H54" i="2"/>
  <c r="H70" i="2"/>
  <c r="H53" i="2"/>
  <c r="H81" i="2"/>
  <c r="H92" i="565"/>
  <c r="H119" i="565" s="1"/>
  <c r="I27" i="565" s="1"/>
  <c r="M171" i="753"/>
  <c r="D188" i="753"/>
  <c r="D190" i="753"/>
  <c r="L31" i="565"/>
  <c r="M69" i="565"/>
  <c r="K20" i="551"/>
  <c r="K68" i="551"/>
  <c r="P99" i="551"/>
  <c r="O99" i="551"/>
  <c r="O126" i="551" s="1"/>
  <c r="P34" i="551" s="1"/>
  <c r="J94" i="551"/>
  <c r="J121" i="551" s="1"/>
  <c r="K29" i="551" s="1"/>
  <c r="K94" i="551"/>
  <c r="K121" i="551" s="1"/>
  <c r="L29" i="551" s="1"/>
  <c r="CB10" i="2"/>
  <c r="CB12" i="2" s="1"/>
  <c r="CC10" i="2"/>
  <c r="CB21" i="2"/>
  <c r="CB43" i="2"/>
  <c r="CB42" i="2"/>
  <c r="D8" i="412"/>
  <c r="D8" i="411"/>
  <c r="D8" i="1"/>
  <c r="BL175" i="2"/>
  <c r="BH176" i="2"/>
  <c r="BH177" i="2"/>
  <c r="AZ38" i="2"/>
  <c r="AZ52" i="2"/>
  <c r="CF32" i="2"/>
  <c r="AZ44" i="2"/>
  <c r="AZ175" i="2"/>
  <c r="AZ179" i="2"/>
  <c r="AL44" i="2"/>
  <c r="AL38" i="2"/>
  <c r="AL52" i="2"/>
  <c r="AL175" i="2"/>
  <c r="AL179" i="2"/>
  <c r="CC26" i="2"/>
  <c r="CC27" i="2"/>
  <c r="CC21" i="2"/>
  <c r="N23" i="2"/>
  <c r="N22" i="2"/>
  <c r="AG50" i="2"/>
  <c r="AG48" i="2"/>
  <c r="AG188" i="2"/>
  <c r="CG35" i="2"/>
  <c r="CG41" i="2"/>
  <c r="CC144" i="2"/>
  <c r="CC13" i="2" s="1"/>
  <c r="CC11" i="2"/>
  <c r="CC650" i="2"/>
  <c r="CC649" i="2" s="1"/>
  <c r="E46" i="686"/>
  <c r="E86" i="686" s="1"/>
  <c r="E126" i="686" s="1"/>
  <c r="BV38" i="2"/>
  <c r="BV44" i="2"/>
  <c r="BW38" i="2"/>
  <c r="BV179" i="2"/>
  <c r="AW52" i="2"/>
  <c r="AW38" i="2"/>
  <c r="AW44" i="2"/>
  <c r="AW175" i="2"/>
  <c r="AW179" i="2"/>
  <c r="U38" i="2"/>
  <c r="U44" i="2"/>
  <c r="U52" i="2"/>
  <c r="Y55" i="2" s="1"/>
  <c r="CD26" i="2"/>
  <c r="CD27" i="2"/>
  <c r="CD21" i="2"/>
  <c r="CA38" i="2"/>
  <c r="CA44" i="2"/>
  <c r="CA179" i="2"/>
  <c r="CF21" i="2"/>
  <c r="CF26" i="2"/>
  <c r="CF27" i="2"/>
  <c r="BY22" i="2"/>
  <c r="BY23" i="2"/>
  <c r="BZ23" i="2"/>
  <c r="BZ22" i="2"/>
  <c r="R72" i="2"/>
  <c r="R73" i="2"/>
  <c r="R76" i="2"/>
  <c r="R89" i="2"/>
  <c r="R91" i="2" s="1"/>
  <c r="R71" i="2"/>
  <c r="BW73" i="2"/>
  <c r="BW76" i="2"/>
  <c r="BW71" i="2"/>
  <c r="BW89" i="2"/>
  <c r="BW91" i="2" s="1"/>
  <c r="BW72" i="2"/>
  <c r="CF107" i="2"/>
  <c r="H64" i="411"/>
  <c r="H64" i="1"/>
  <c r="H64" i="412"/>
  <c r="AW277" i="2"/>
  <c r="BA277" i="2"/>
  <c r="BX221" i="2"/>
  <c r="BX206" i="2"/>
  <c r="CG216" i="2"/>
  <c r="CG221" i="2"/>
  <c r="BX263" i="2"/>
  <c r="BW378" i="2"/>
  <c r="BX391" i="2"/>
  <c r="L443" i="2"/>
  <c r="P443" i="2"/>
  <c r="L452" i="2"/>
  <c r="L444" i="2"/>
  <c r="CC390" i="2"/>
  <c r="CF442" i="2"/>
  <c r="AZ452" i="2"/>
  <c r="AZ444" i="2"/>
  <c r="AZ443" i="2"/>
  <c r="L94" i="686"/>
  <c r="K96" i="686"/>
  <c r="K100" i="686"/>
  <c r="O69" i="411"/>
  <c r="X652" i="2"/>
  <c r="X152" i="2" s="1"/>
  <c r="J652" i="2"/>
  <c r="BH648" i="2"/>
  <c r="BH649" i="2" s="1"/>
  <c r="AV652" i="2"/>
  <c r="R648" i="2"/>
  <c r="R649" i="2" s="1"/>
  <c r="AI652" i="2"/>
  <c r="AZ652" i="2"/>
  <c r="AZ152" i="2" s="1"/>
  <c r="BA652" i="2"/>
  <c r="BB652" i="2"/>
  <c r="L94" i="551" l="1"/>
  <c r="K93" i="565"/>
  <c r="BU78" i="2"/>
  <c r="BU77" i="2"/>
  <c r="AA190" i="753"/>
  <c r="AA188" i="753"/>
  <c r="N188" i="753"/>
  <c r="N194" i="753"/>
  <c r="N190" i="753"/>
  <c r="P69" i="411"/>
  <c r="L100" i="686"/>
  <c r="M94" i="686"/>
  <c r="L96" i="686"/>
  <c r="AZ177" i="2"/>
  <c r="AZ176" i="2"/>
  <c r="CF444" i="2"/>
  <c r="CF443" i="2"/>
  <c r="Q99" i="551"/>
  <c r="S50" i="2"/>
  <c r="S49" i="2"/>
  <c r="S48" i="2"/>
  <c r="AH72" i="2"/>
  <c r="AH73" i="2"/>
  <c r="AH76" i="2"/>
  <c r="AH89" i="2"/>
  <c r="AH91" i="2" s="1"/>
  <c r="AH71" i="2"/>
  <c r="AN83" i="2"/>
  <c r="AN82" i="2"/>
  <c r="BV175" i="2"/>
  <c r="BV180" i="2"/>
  <c r="BW180" i="2"/>
  <c r="H63" i="562"/>
  <c r="E9" i="1"/>
  <c r="D34" i="1"/>
  <c r="D77" i="1"/>
  <c r="L68" i="551"/>
  <c r="K30" i="551"/>
  <c r="AW459" i="2"/>
  <c r="I76" i="2"/>
  <c r="I78" i="2" s="1"/>
  <c r="I89" i="2"/>
  <c r="I91" i="2" s="1"/>
  <c r="I72" i="2"/>
  <c r="I63" i="565"/>
  <c r="AG152" i="2"/>
  <c r="AG153" i="2"/>
  <c r="AG15" i="2" s="1"/>
  <c r="BW99" i="2"/>
  <c r="BW93" i="2"/>
  <c r="CA180" i="2"/>
  <c r="CA175" i="2"/>
  <c r="CA176" i="2" s="1"/>
  <c r="E9" i="411"/>
  <c r="D34" i="411"/>
  <c r="H83" i="2"/>
  <c r="H85" i="2" s="1"/>
  <c r="H82" i="2"/>
  <c r="H98" i="2" s="1"/>
  <c r="H104" i="2" s="1"/>
  <c r="BN126" i="2"/>
  <c r="BN164" i="2"/>
  <c r="BN159" i="2" s="1"/>
  <c r="J39" i="686"/>
  <c r="X43" i="686"/>
  <c r="J83" i="686"/>
  <c r="BY82" i="2"/>
  <c r="BY98" i="2" s="1"/>
  <c r="BY104" i="2" s="1"/>
  <c r="G91" i="551"/>
  <c r="G118" i="551" s="1"/>
  <c r="H26" i="551" s="1"/>
  <c r="CE11" i="2"/>
  <c r="CE144" i="2"/>
  <c r="CE13" i="2" s="1"/>
  <c r="G46" i="686"/>
  <c r="G86" i="686" s="1"/>
  <c r="G126" i="686" s="1"/>
  <c r="O49" i="2"/>
  <c r="O48" i="2"/>
  <c r="O50" i="2"/>
  <c r="AH50" i="2"/>
  <c r="AH49" i="2"/>
  <c r="AH48" i="2"/>
  <c r="AH188" i="2"/>
  <c r="AN50" i="2"/>
  <c r="AN188" i="2"/>
  <c r="O97" i="551"/>
  <c r="O124" i="551" s="1"/>
  <c r="P32" i="551" s="1"/>
  <c r="AV176" i="2"/>
  <c r="AV177" i="2"/>
  <c r="F90" i="562"/>
  <c r="F117" i="562" s="1"/>
  <c r="G25" i="562" s="1"/>
  <c r="G90" i="562"/>
  <c r="G117" i="562" s="1"/>
  <c r="H25" i="562" s="1"/>
  <c r="L73" i="2"/>
  <c r="L71" i="2"/>
  <c r="L72" i="2"/>
  <c r="L89" i="2"/>
  <c r="L91" i="2" s="1"/>
  <c r="L76" i="2"/>
  <c r="AD82" i="2"/>
  <c r="AD98" i="2" s="1"/>
  <c r="AD104" i="2" s="1"/>
  <c r="AB73" i="2"/>
  <c r="AB71" i="2"/>
  <c r="AB72" i="2"/>
  <c r="AB76" i="2"/>
  <c r="AB89" i="2"/>
  <c r="AB91" i="2" s="1"/>
  <c r="P152" i="2"/>
  <c r="P153" i="2"/>
  <c r="P15" i="2" s="1"/>
  <c r="F83" i="686"/>
  <c r="F39" i="686"/>
  <c r="F44" i="686"/>
  <c r="AY181" i="2"/>
  <c r="AY180" i="2"/>
  <c r="Y460" i="2"/>
  <c r="Y463" i="2"/>
  <c r="Y462" i="2"/>
  <c r="AC460" i="2"/>
  <c r="AC78" i="2"/>
  <c r="AI47" i="2"/>
  <c r="AI54" i="2"/>
  <c r="AI55" i="2"/>
  <c r="AI81" i="2"/>
  <c r="AI53" i="2"/>
  <c r="AI70" i="2"/>
  <c r="H64" i="562"/>
  <c r="G26" i="562"/>
  <c r="BX27" i="2"/>
  <c r="BX26" i="2"/>
  <c r="BX52" i="2"/>
  <c r="BY26" i="2"/>
  <c r="P99" i="562"/>
  <c r="P126" i="562" s="1"/>
  <c r="Q34" i="562" s="1"/>
  <c r="O99" i="562"/>
  <c r="O126" i="562" s="1"/>
  <c r="P34" i="562" s="1"/>
  <c r="G108" i="686"/>
  <c r="H108" i="686"/>
  <c r="AG77" i="2"/>
  <c r="CF440" i="2"/>
  <c r="CF439" i="2"/>
  <c r="CG439" i="2"/>
  <c r="I39" i="686"/>
  <c r="W43" i="686"/>
  <c r="I44" i="686"/>
  <c r="I83" i="686"/>
  <c r="P49" i="2"/>
  <c r="P48" i="2"/>
  <c r="Q49" i="2"/>
  <c r="P50" i="2"/>
  <c r="BB180" i="2"/>
  <c r="BB181" i="2"/>
  <c r="AA175" i="753"/>
  <c r="BH53" i="2"/>
  <c r="AW54" i="2"/>
  <c r="AW47" i="2"/>
  <c r="AW81" i="2"/>
  <c r="BA66" i="2"/>
  <c r="AW55" i="2"/>
  <c r="AW70" i="2"/>
  <c r="AW53" i="2"/>
  <c r="AU152" i="2"/>
  <c r="AU153" i="2"/>
  <c r="AU15" i="2" s="1"/>
  <c r="BL179" i="2"/>
  <c r="BL177" i="2"/>
  <c r="O82" i="2"/>
  <c r="O98" i="2" s="1"/>
  <c r="O104" i="2" s="1"/>
  <c r="AH82" i="2"/>
  <c r="AH98" i="2" s="1"/>
  <c r="AH104" i="2" s="1"/>
  <c r="AN76" i="2"/>
  <c r="AN89" i="2"/>
  <c r="CC70" i="2"/>
  <c r="AN72" i="2"/>
  <c r="AN71" i="2"/>
  <c r="X50" i="2"/>
  <c r="BE76" i="2"/>
  <c r="BE89" i="2"/>
  <c r="BE91" i="2" s="1"/>
  <c r="BE71" i="2"/>
  <c r="BE72" i="2"/>
  <c r="BE73" i="2"/>
  <c r="AV152" i="2"/>
  <c r="AV153" i="2"/>
  <c r="AV15" i="2" s="1"/>
  <c r="L455" i="2"/>
  <c r="L457" i="2"/>
  <c r="L459" i="2" s="1"/>
  <c r="CF23" i="2"/>
  <c r="CF22" i="2"/>
  <c r="I92" i="565"/>
  <c r="I119" i="565" s="1"/>
  <c r="J27" i="565" s="1"/>
  <c r="V55" i="2"/>
  <c r="V70" i="2"/>
  <c r="V47" i="2"/>
  <c r="V54" i="2"/>
  <c r="V53" i="2"/>
  <c r="V81" i="2"/>
  <c r="M153" i="2"/>
  <c r="M15" i="2" s="1"/>
  <c r="M152" i="2"/>
  <c r="J152" i="2"/>
  <c r="J153" i="2"/>
  <c r="J15" i="2" s="1"/>
  <c r="AL180" i="2"/>
  <c r="AL181" i="2"/>
  <c r="D34" i="412"/>
  <c r="E9" i="412"/>
  <c r="BL164" i="2"/>
  <c r="BL159" i="2" s="1"/>
  <c r="BL126" i="2"/>
  <c r="BY89" i="2"/>
  <c r="BY91" i="2" s="1"/>
  <c r="BY76" i="2"/>
  <c r="BY72" i="2"/>
  <c r="BG78" i="2"/>
  <c r="I64" i="551"/>
  <c r="CG23" i="2"/>
  <c r="CG22" i="2"/>
  <c r="T47" i="2"/>
  <c r="T54" i="2"/>
  <c r="T55" i="2"/>
  <c r="T53" i="2"/>
  <c r="T81" i="2"/>
  <c r="T70" i="2"/>
  <c r="CB277" i="2"/>
  <c r="CC277" i="2"/>
  <c r="Q147" i="753"/>
  <c r="Q148" i="753" s="1"/>
  <c r="Q149" i="753" s="1"/>
  <c r="R152" i="753"/>
  <c r="R155" i="753" s="1"/>
  <c r="K94" i="565"/>
  <c r="K121" i="565" s="1"/>
  <c r="L29" i="565" s="1"/>
  <c r="CE44" i="2"/>
  <c r="CE179" i="2"/>
  <c r="CE38" i="2"/>
  <c r="P66" i="562"/>
  <c r="L82" i="2"/>
  <c r="L98" i="2" s="1"/>
  <c r="L104" i="2" s="1"/>
  <c r="L83" i="2"/>
  <c r="L85" i="2" s="1"/>
  <c r="L86" i="2" s="1"/>
  <c r="AD49" i="2"/>
  <c r="AD50" i="2"/>
  <c r="AD188" i="2"/>
  <c r="AD190" i="2" s="1"/>
  <c r="AB82" i="2"/>
  <c r="AB98" i="2" s="1"/>
  <c r="AB104" i="2" s="1"/>
  <c r="AB83" i="2"/>
  <c r="AB85" i="2" s="1"/>
  <c r="Q211" i="753"/>
  <c r="R216" i="753"/>
  <c r="R219" i="753" s="1"/>
  <c r="AB152" i="2"/>
  <c r="AB153" i="2"/>
  <c r="AB15" i="2" s="1"/>
  <c r="AY177" i="2"/>
  <c r="AY176" i="2"/>
  <c r="H62" i="565"/>
  <c r="BV50" i="2"/>
  <c r="BV48" i="2"/>
  <c r="BW48" i="2"/>
  <c r="BV188" i="2"/>
  <c r="BZ180" i="2"/>
  <c r="BZ175" i="2"/>
  <c r="Q72" i="562"/>
  <c r="R83" i="2"/>
  <c r="R85" i="2" s="1"/>
  <c r="R86" i="2" s="1"/>
  <c r="AK55" i="2"/>
  <c r="AK54" i="2"/>
  <c r="AK70" i="2"/>
  <c r="AK47" i="2"/>
  <c r="AK81" i="2"/>
  <c r="AK53" i="2"/>
  <c r="K95" i="565"/>
  <c r="K122" i="565" s="1"/>
  <c r="L30" i="565" s="1"/>
  <c r="BV249" i="2"/>
  <c r="BM126" i="2"/>
  <c r="BM164" i="2"/>
  <c r="BM159" i="2" s="1"/>
  <c r="BB176" i="2"/>
  <c r="BB177" i="2"/>
  <c r="H50" i="2"/>
  <c r="H49" i="2"/>
  <c r="AJ47" i="2"/>
  <c r="AJ54" i="2"/>
  <c r="AJ55" i="2"/>
  <c r="AJ53" i="2"/>
  <c r="CB52" i="2"/>
  <c r="AJ81" i="2"/>
  <c r="AJ70" i="2"/>
  <c r="BW78" i="2"/>
  <c r="BW77" i="2"/>
  <c r="AL176" i="2"/>
  <c r="AL177" i="2"/>
  <c r="N69" i="565"/>
  <c r="H76" i="2"/>
  <c r="H78" i="2" s="1"/>
  <c r="H89" i="2"/>
  <c r="H91" i="2" s="1"/>
  <c r="H72" i="2"/>
  <c r="AJ181" i="2"/>
  <c r="AJ180" i="2"/>
  <c r="K99" i="2"/>
  <c r="K93" i="2"/>
  <c r="E207" i="753"/>
  <c r="E189" i="753"/>
  <c r="I175" i="753"/>
  <c r="BE460" i="2"/>
  <c r="BE463" i="2"/>
  <c r="BE462" i="2"/>
  <c r="BI460" i="2"/>
  <c r="E54" i="2"/>
  <c r="E47" i="2"/>
  <c r="O67" i="562"/>
  <c r="L49" i="2"/>
  <c r="L48" i="2"/>
  <c r="L50" i="2"/>
  <c r="E113" i="686"/>
  <c r="E117" i="686"/>
  <c r="E114" i="686"/>
  <c r="E115" i="686"/>
  <c r="E111" i="686"/>
  <c r="CB180" i="2"/>
  <c r="CB175" i="2"/>
  <c r="AB49" i="2"/>
  <c r="AB48" i="2"/>
  <c r="AB50" i="2"/>
  <c r="AB188" i="2"/>
  <c r="AC190" i="2" s="1"/>
  <c r="T457" i="2"/>
  <c r="T459" i="2" s="1"/>
  <c r="T455" i="2"/>
  <c r="BX175" i="2"/>
  <c r="BX176" i="2" s="1"/>
  <c r="BX180" i="2"/>
  <c r="I53" i="2"/>
  <c r="AH649" i="2"/>
  <c r="O98" i="565"/>
  <c r="O125" i="565" s="1"/>
  <c r="P33" i="565" s="1"/>
  <c r="P98" i="565" s="1"/>
  <c r="P125" i="565" s="1"/>
  <c r="Q33" i="565" s="1"/>
  <c r="AP153" i="2"/>
  <c r="AP15" i="2" s="1"/>
  <c r="AP152" i="2"/>
  <c r="BU462" i="2"/>
  <c r="BU463" i="2"/>
  <c r="BU460" i="2"/>
  <c r="BV82" i="2"/>
  <c r="BV98" i="2" s="1"/>
  <c r="BV104" i="2" s="1"/>
  <c r="BJ82" i="2"/>
  <c r="BJ98" i="2" s="1"/>
  <c r="BJ104" i="2" s="1"/>
  <c r="BY249" i="2"/>
  <c r="BZ249" i="2"/>
  <c r="BC180" i="2"/>
  <c r="BG180" i="2"/>
  <c r="BC181" i="2"/>
  <c r="AL152" i="2"/>
  <c r="AL153" i="2"/>
  <c r="AL15" i="2" s="1"/>
  <c r="F189" i="753"/>
  <c r="Y82" i="2"/>
  <c r="Y98" i="2" s="1"/>
  <c r="Y104" i="2" s="1"/>
  <c r="BH153" i="2"/>
  <c r="BH15" i="2" s="1"/>
  <c r="CI648" i="2"/>
  <c r="Q462" i="2"/>
  <c r="Q460" i="2"/>
  <c r="Q463" i="2"/>
  <c r="U460" i="2"/>
  <c r="AU72" i="2"/>
  <c r="AU73" i="2"/>
  <c r="AU76" i="2"/>
  <c r="AU71" i="2"/>
  <c r="AU89" i="2"/>
  <c r="AU91" i="2" s="1"/>
  <c r="BB55" i="2"/>
  <c r="BB70" i="2"/>
  <c r="BB53" i="2"/>
  <c r="BB47" i="2"/>
  <c r="BF66" i="2"/>
  <c r="BB81" i="2"/>
  <c r="BB54" i="2"/>
  <c r="S198" i="753"/>
  <c r="AB198" i="753" s="1"/>
  <c r="R217" i="753"/>
  <c r="R197" i="753"/>
  <c r="AD72" i="2"/>
  <c r="AD71" i="2"/>
  <c r="AD76" i="2"/>
  <c r="AD89" i="2"/>
  <c r="AD91" i="2" s="1"/>
  <c r="BU50" i="2"/>
  <c r="BU48" i="2"/>
  <c r="BU188" i="2"/>
  <c r="BU189" i="2" s="1"/>
  <c r="AQ463" i="2"/>
  <c r="AQ462" i="2"/>
  <c r="AQ460" i="2"/>
  <c r="AU460" i="2"/>
  <c r="S70" i="551"/>
  <c r="M32" i="565"/>
  <c r="N70" i="565"/>
  <c r="E77" i="411"/>
  <c r="D77" i="411"/>
  <c r="F77" i="411"/>
  <c r="G77" i="411"/>
  <c r="H77" i="411"/>
  <c r="E96" i="411"/>
  <c r="BA180" i="2"/>
  <c r="BE180" i="2"/>
  <c r="BA181" i="2"/>
  <c r="BJ72" i="2"/>
  <c r="BJ73" i="2"/>
  <c r="BJ71" i="2"/>
  <c r="BJ89" i="2"/>
  <c r="BJ91" i="2" s="1"/>
  <c r="BJ76" i="2"/>
  <c r="BC176" i="2"/>
  <c r="BG176" i="2"/>
  <c r="BC177" i="2"/>
  <c r="BM179" i="2"/>
  <c r="BM177" i="2"/>
  <c r="AK152" i="2"/>
  <c r="AK153" i="2"/>
  <c r="AK15" i="2" s="1"/>
  <c r="R101" i="562"/>
  <c r="R128" i="562" s="1"/>
  <c r="S36" i="562" s="1"/>
  <c r="S101" i="562"/>
  <c r="Q58" i="753"/>
  <c r="R63" i="753"/>
  <c r="R66" i="753" s="1"/>
  <c r="AP177" i="2"/>
  <c r="AP176" i="2"/>
  <c r="AQ177" i="2"/>
  <c r="AT176" i="2"/>
  <c r="O194" i="753"/>
  <c r="O188" i="753"/>
  <c r="O190" i="753"/>
  <c r="Y48" i="2"/>
  <c r="Y50" i="2"/>
  <c r="Y49" i="2"/>
  <c r="CH648" i="2"/>
  <c r="CF277" i="2"/>
  <c r="P72" i="565"/>
  <c r="O34" i="565"/>
  <c r="P98" i="562"/>
  <c r="L96" i="565"/>
  <c r="L123" i="565" s="1"/>
  <c r="M31" i="565" s="1"/>
  <c r="M96" i="565"/>
  <c r="M123" i="565" s="1"/>
  <c r="N31" i="565" s="1"/>
  <c r="P107" i="686"/>
  <c r="Q107" i="686" s="1"/>
  <c r="R107" i="686" s="1"/>
  <c r="S107" i="686" s="1"/>
  <c r="T107" i="686" s="1"/>
  <c r="Y107" i="686"/>
  <c r="J53" i="2"/>
  <c r="J47" i="2"/>
  <c r="J55" i="2"/>
  <c r="J54" i="2"/>
  <c r="N55" i="2"/>
  <c r="N53" i="2"/>
  <c r="J81" i="2"/>
  <c r="J70" i="2"/>
  <c r="Q126" i="551"/>
  <c r="R34" i="551" s="1"/>
  <c r="R72" i="551"/>
  <c r="BB457" i="2"/>
  <c r="BB459" i="2" s="1"/>
  <c r="BB455" i="2"/>
  <c r="BU72" i="2"/>
  <c r="BU73" i="2"/>
  <c r="BU71" i="2"/>
  <c r="BU89" i="2"/>
  <c r="BU91" i="2" s="1"/>
  <c r="AZ153" i="2"/>
  <c r="AZ15" i="2" s="1"/>
  <c r="P70" i="562"/>
  <c r="D83" i="686"/>
  <c r="D39" i="686"/>
  <c r="E40" i="686" s="1"/>
  <c r="D44" i="686"/>
  <c r="E45" i="686" s="1"/>
  <c r="AX153" i="2"/>
  <c r="AX15" i="2" s="1"/>
  <c r="AX152" i="2"/>
  <c r="Q100" i="551"/>
  <c r="Q127" i="551" s="1"/>
  <c r="R35" i="551" s="1"/>
  <c r="BA176" i="2"/>
  <c r="BA177" i="2"/>
  <c r="BE176" i="2"/>
  <c r="BX139" i="2"/>
  <c r="BX130" i="2"/>
  <c r="BY130" i="2"/>
  <c r="BZ139" i="2"/>
  <c r="M95" i="562"/>
  <c r="M122" i="562" s="1"/>
  <c r="N30" i="562" s="1"/>
  <c r="BF460" i="2"/>
  <c r="BF463" i="2"/>
  <c r="BF462" i="2"/>
  <c r="BJ460" i="2"/>
  <c r="AP181" i="2"/>
  <c r="AQ181" i="2"/>
  <c r="AP180" i="2"/>
  <c r="AT180" i="2"/>
  <c r="AO153" i="2"/>
  <c r="AO15" i="2" s="1"/>
  <c r="AO152" i="2"/>
  <c r="AO460" i="2"/>
  <c r="AO463" i="2"/>
  <c r="AO462" i="2"/>
  <c r="AS460" i="2"/>
  <c r="Y76" i="2"/>
  <c r="AC77" i="2" s="1"/>
  <c r="Y89" i="2"/>
  <c r="Y91" i="2" s="1"/>
  <c r="Y71" i="2"/>
  <c r="Y72" i="2"/>
  <c r="Y73" i="2"/>
  <c r="H92" i="551"/>
  <c r="H119" i="551" s="1"/>
  <c r="I27" i="551" s="1"/>
  <c r="AU82" i="2"/>
  <c r="AU98" i="2" s="1"/>
  <c r="AU104" i="2" s="1"/>
  <c r="AU83" i="2"/>
  <c r="AU85" i="2" s="1"/>
  <c r="AU86" i="2" s="1"/>
  <c r="CB649" i="2"/>
  <c r="F113" i="686"/>
  <c r="F117" i="686"/>
  <c r="F114" i="686"/>
  <c r="F115" i="686"/>
  <c r="F111" i="686"/>
  <c r="G111" i="686"/>
  <c r="Y67" i="686"/>
  <c r="P67" i="686"/>
  <c r="Q67" i="686" s="1"/>
  <c r="R67" i="686" s="1"/>
  <c r="S67" i="686" s="1"/>
  <c r="T67" i="686" s="1"/>
  <c r="BX185" i="2"/>
  <c r="BY185" i="2"/>
  <c r="I194" i="753"/>
  <c r="I190" i="753"/>
  <c r="I188" i="753"/>
  <c r="U10" i="686"/>
  <c r="Z10" i="686"/>
  <c r="D42" i="1"/>
  <c r="AP53" i="2"/>
  <c r="AP47" i="2"/>
  <c r="AP55" i="2"/>
  <c r="AP54" i="2"/>
  <c r="AP81" i="2"/>
  <c r="AP70" i="2"/>
  <c r="BC152" i="2"/>
  <c r="BC153" i="2"/>
  <c r="BC15" i="2" s="1"/>
  <c r="J65" i="551"/>
  <c r="L153" i="2"/>
  <c r="L15" i="2" s="1"/>
  <c r="BZ83" i="2"/>
  <c r="BZ85" i="2" s="1"/>
  <c r="BZ82" i="2"/>
  <c r="BZ98" i="2" s="1"/>
  <c r="BZ104" i="2" s="1"/>
  <c r="BH49" i="2"/>
  <c r="BH50" i="2"/>
  <c r="BH188" i="2"/>
  <c r="BI49" i="2"/>
  <c r="BD459" i="2"/>
  <c r="CG457" i="2"/>
  <c r="R78" i="2"/>
  <c r="R77" i="2"/>
  <c r="U55" i="2"/>
  <c r="U54" i="2"/>
  <c r="U70" i="2"/>
  <c r="U47" i="2"/>
  <c r="U81" i="2"/>
  <c r="U53" i="2"/>
  <c r="AZ181" i="2"/>
  <c r="AZ180" i="2"/>
  <c r="CC12" i="2"/>
  <c r="CD12" i="2"/>
  <c r="G47" i="2"/>
  <c r="G54" i="2"/>
  <c r="K55" i="2"/>
  <c r="K53" i="2"/>
  <c r="AF54" i="2"/>
  <c r="AF47" i="2"/>
  <c r="CA52" i="2"/>
  <c r="AF53" i="2"/>
  <c r="AF55" i="2"/>
  <c r="AF81" i="2"/>
  <c r="AF70" i="2"/>
  <c r="CF11" i="2"/>
  <c r="CF144" i="2"/>
  <c r="CF13" i="2" s="1"/>
  <c r="H46" i="686"/>
  <c r="H86" i="686" s="1"/>
  <c r="H126" i="686" s="1"/>
  <c r="D47" i="2"/>
  <c r="D50" i="2" s="1"/>
  <c r="D54" i="2"/>
  <c r="BH73" i="2"/>
  <c r="BH72" i="2"/>
  <c r="BH89" i="2"/>
  <c r="BH76" i="2"/>
  <c r="BU23" i="2"/>
  <c r="BU22" i="2"/>
  <c r="AY457" i="2"/>
  <c r="AY459" i="2" s="1"/>
  <c r="AY455" i="2"/>
  <c r="K93" i="562"/>
  <c r="K120" i="562" s="1"/>
  <c r="L28" i="562" s="1"/>
  <c r="T74" i="562"/>
  <c r="S128" i="562"/>
  <c r="AA460" i="2"/>
  <c r="AA463" i="2"/>
  <c r="AA464" i="2" s="1"/>
  <c r="AA462" i="2"/>
  <c r="BV22" i="2"/>
  <c r="CE340" i="2"/>
  <c r="BA55" i="2"/>
  <c r="BA54" i="2"/>
  <c r="BA70" i="2"/>
  <c r="BA53" i="2"/>
  <c r="BA81" i="2"/>
  <c r="BA47" i="2"/>
  <c r="BE48" i="2" s="1"/>
  <c r="BE66" i="2"/>
  <c r="BJ49" i="2"/>
  <c r="BJ48" i="2"/>
  <c r="BJ50" i="2"/>
  <c r="BJ188" i="2"/>
  <c r="CG443" i="2"/>
  <c r="BY650" i="2"/>
  <c r="BY649" i="2" s="1"/>
  <c r="AN153" i="2"/>
  <c r="AN15" i="2" s="1"/>
  <c r="D42" i="411"/>
  <c r="CF206" i="2"/>
  <c r="CF221" i="2"/>
  <c r="AG100" i="2"/>
  <c r="AG105" i="2"/>
  <c r="Y53" i="2"/>
  <c r="O97" i="562"/>
  <c r="O124" i="562" s="1"/>
  <c r="P32" i="562" s="1"/>
  <c r="AU49" i="2"/>
  <c r="AU50" i="2"/>
  <c r="AU48" i="2"/>
  <c r="AU188" i="2"/>
  <c r="N69" i="551"/>
  <c r="AE72" i="2"/>
  <c r="AE73" i="2"/>
  <c r="AE76" i="2"/>
  <c r="AE71" i="2"/>
  <c r="AE89" i="2"/>
  <c r="AE91" i="2" s="1"/>
  <c r="S71" i="2"/>
  <c r="S76" i="2"/>
  <c r="S73" i="2"/>
  <c r="S72" i="2"/>
  <c r="S89" i="2"/>
  <c r="S91" i="2" s="1"/>
  <c r="BR82" i="2"/>
  <c r="BR83" i="2" s="1"/>
  <c r="AV54" i="2"/>
  <c r="AV47" i="2"/>
  <c r="AV53" i="2"/>
  <c r="AV81" i="2"/>
  <c r="CE52" i="2"/>
  <c r="AV55" i="2"/>
  <c r="AV70" i="2"/>
  <c r="BH82" i="2"/>
  <c r="AF181" i="2"/>
  <c r="AF180" i="2"/>
  <c r="AG181" i="2"/>
  <c r="BV12" i="2"/>
  <c r="BW12" i="2"/>
  <c r="BI92" i="2"/>
  <c r="BI99" i="2"/>
  <c r="BI93" i="2"/>
  <c r="BO32" i="2"/>
  <c r="BO180" i="2"/>
  <c r="BU185" i="2"/>
  <c r="BV185" i="2"/>
  <c r="AA99" i="2"/>
  <c r="AA100" i="2" s="1"/>
  <c r="AA93" i="2"/>
  <c r="L54" i="686"/>
  <c r="L62" i="686" s="1"/>
  <c r="M60" i="686"/>
  <c r="AN176" i="2"/>
  <c r="AN177" i="2"/>
  <c r="AO177" i="2"/>
  <c r="AR176" i="2"/>
  <c r="F89" i="551"/>
  <c r="E89" i="551"/>
  <c r="E116" i="551" s="1"/>
  <c r="F24" i="551" s="1"/>
  <c r="E49" i="551"/>
  <c r="CA249" i="2"/>
  <c r="CB249" i="2"/>
  <c r="BX22" i="2"/>
  <c r="BX23" i="2"/>
  <c r="P125" i="562"/>
  <c r="Q33" i="562" s="1"/>
  <c r="Q71" i="562"/>
  <c r="BX650" i="2"/>
  <c r="BX649" i="2" s="1"/>
  <c r="BC47" i="2"/>
  <c r="BC55" i="2"/>
  <c r="BC54" i="2"/>
  <c r="BC70" i="2"/>
  <c r="BC53" i="2"/>
  <c r="BC81" i="2"/>
  <c r="BG66" i="2"/>
  <c r="BG53" i="2"/>
  <c r="BG55" i="2"/>
  <c r="D42" i="412"/>
  <c r="AQ153" i="2"/>
  <c r="AQ15" i="2" s="1"/>
  <c r="AM180" i="2"/>
  <c r="AQ180" i="2"/>
  <c r="AM181" i="2"/>
  <c r="W188" i="753"/>
  <c r="W190" i="753"/>
  <c r="W194" i="753"/>
  <c r="AY71" i="2"/>
  <c r="AY76" i="2"/>
  <c r="AY73" i="2"/>
  <c r="AY72" i="2"/>
  <c r="AY89" i="2"/>
  <c r="AY91" i="2" s="1"/>
  <c r="Y50" i="686"/>
  <c r="P50" i="686"/>
  <c r="Q50" i="686" s="1"/>
  <c r="R50" i="686" s="1"/>
  <c r="S50" i="686" s="1"/>
  <c r="T50" i="686" s="1"/>
  <c r="AT82" i="2"/>
  <c r="AT98" i="2" s="1"/>
  <c r="AT104" i="2" s="1"/>
  <c r="AT83" i="2"/>
  <c r="AT85" i="2" s="1"/>
  <c r="Q174" i="753"/>
  <c r="Q170" i="753"/>
  <c r="Q169" i="753"/>
  <c r="Q161" i="753"/>
  <c r="R165" i="753"/>
  <c r="R168" i="753" s="1"/>
  <c r="BY50" i="2"/>
  <c r="BY188" i="2"/>
  <c r="E10" i="412"/>
  <c r="E10" i="1"/>
  <c r="E10" i="411"/>
  <c r="P194" i="753"/>
  <c r="P188" i="753"/>
  <c r="P190" i="753"/>
  <c r="AG189" i="2"/>
  <c r="J92" i="565"/>
  <c r="J119" i="565" s="1"/>
  <c r="K27" i="565" s="1"/>
  <c r="L96" i="551"/>
  <c r="L123" i="551" s="1"/>
  <c r="M31" i="551" s="1"/>
  <c r="M96" i="551"/>
  <c r="M123" i="551" s="1"/>
  <c r="N31" i="551" s="1"/>
  <c r="L121" i="551"/>
  <c r="M29" i="551" s="1"/>
  <c r="M67" i="551"/>
  <c r="BU82" i="2"/>
  <c r="BU98" i="2" s="1"/>
  <c r="BU104" i="2" s="1"/>
  <c r="BU83" i="2"/>
  <c r="BU85" i="2" s="1"/>
  <c r="T73" i="562"/>
  <c r="AJ457" i="2"/>
  <c r="AJ459" i="2" s="1"/>
  <c r="AN460" i="2" s="1"/>
  <c r="AJ455" i="2"/>
  <c r="R24" i="753"/>
  <c r="R27" i="753" s="1"/>
  <c r="Q13" i="753"/>
  <c r="Q20" i="753"/>
  <c r="U153" i="2"/>
  <c r="U15" i="2" s="1"/>
  <c r="AH152" i="2"/>
  <c r="AH153" i="2"/>
  <c r="AH15" i="2" s="1"/>
  <c r="Q71" i="565"/>
  <c r="AF176" i="2"/>
  <c r="AF177" i="2"/>
  <c r="AG177" i="2"/>
  <c r="BK38" i="2"/>
  <c r="BK31" i="2"/>
  <c r="CJ30" i="2"/>
  <c r="CH32" i="2"/>
  <c r="BI71" i="2"/>
  <c r="BS82" i="2"/>
  <c r="BS98" i="2" s="1"/>
  <c r="BS104" i="2" s="1"/>
  <c r="BS83" i="2"/>
  <c r="G190" i="753"/>
  <c r="G188" i="753"/>
  <c r="K194" i="753"/>
  <c r="K54" i="686"/>
  <c r="AN180" i="2"/>
  <c r="AR180" i="2"/>
  <c r="AN181" i="2"/>
  <c r="AO181" i="2"/>
  <c r="F116" i="551"/>
  <c r="G62" i="551"/>
  <c r="AR455" i="2"/>
  <c r="AR457" i="2"/>
  <c r="CD452" i="2"/>
  <c r="CD455" i="2" s="1"/>
  <c r="BJ60" i="2"/>
  <c r="BJ59" i="2"/>
  <c r="F108" i="686"/>
  <c r="AM176" i="2"/>
  <c r="AM177" i="2"/>
  <c r="AQ176" i="2"/>
  <c r="BZ89" i="2"/>
  <c r="BZ91" i="2" s="1"/>
  <c r="BZ71" i="2"/>
  <c r="BZ72" i="2"/>
  <c r="BZ73" i="2"/>
  <c r="BZ76" i="2"/>
  <c r="AX189" i="2"/>
  <c r="CB23" i="2"/>
  <c r="CB22" i="2"/>
  <c r="F25" i="551"/>
  <c r="G63" i="551"/>
  <c r="AW180" i="2"/>
  <c r="AW181" i="2"/>
  <c r="AX181" i="2"/>
  <c r="CF38" i="2"/>
  <c r="CF44" i="2"/>
  <c r="CF179" i="2"/>
  <c r="H64" i="565"/>
  <c r="G26" i="565"/>
  <c r="CG107" i="2"/>
  <c r="I64" i="411"/>
  <c r="I64" i="1"/>
  <c r="I64" i="412"/>
  <c r="AE82" i="2"/>
  <c r="AE98" i="2" s="1"/>
  <c r="AE104" i="2" s="1"/>
  <c r="AE83" i="2"/>
  <c r="AE85" i="2" s="1"/>
  <c r="AE86" i="2" s="1"/>
  <c r="J463" i="2"/>
  <c r="N464" i="2" s="1"/>
  <c r="J462" i="2"/>
  <c r="N460" i="2"/>
  <c r="Q152" i="2"/>
  <c r="Q153" i="2"/>
  <c r="Q15" i="2" s="1"/>
  <c r="BK126" i="2"/>
  <c r="BK164" i="2"/>
  <c r="BK159" i="2" s="1"/>
  <c r="AS99" i="2"/>
  <c r="AS100" i="2" s="1"/>
  <c r="AS93" i="2"/>
  <c r="BD176" i="2"/>
  <c r="BD177" i="2"/>
  <c r="BE177" i="2"/>
  <c r="BI77" i="2"/>
  <c r="BI78" i="2"/>
  <c r="BS72" i="2"/>
  <c r="BS76" i="2"/>
  <c r="BS89" i="2"/>
  <c r="BS91" i="2" s="1"/>
  <c r="BT71" i="2"/>
  <c r="BT73" i="2"/>
  <c r="H27" i="562"/>
  <c r="I65" i="562"/>
  <c r="BY12" i="2"/>
  <c r="BZ12" i="2"/>
  <c r="BG153" i="2"/>
  <c r="BG15" i="2" s="1"/>
  <c r="I93" i="551"/>
  <c r="I120" i="551" s="1"/>
  <c r="J28" i="551" s="1"/>
  <c r="BV340" i="2"/>
  <c r="BE649" i="2"/>
  <c r="Q67" i="565"/>
  <c r="X55" i="412"/>
  <c r="X80" i="412"/>
  <c r="D77" i="412"/>
  <c r="W47" i="2"/>
  <c r="W55" i="2"/>
  <c r="W70" i="2"/>
  <c r="W81" i="2"/>
  <c r="W54" i="2"/>
  <c r="W53" i="2"/>
  <c r="AA53" i="2"/>
  <c r="AA55" i="2"/>
  <c r="Z53" i="2"/>
  <c r="Z47" i="2"/>
  <c r="Z81" i="2"/>
  <c r="Z55" i="2"/>
  <c r="Z54" i="2"/>
  <c r="Z70" i="2"/>
  <c r="BZ48" i="2"/>
  <c r="BZ50" i="2"/>
  <c r="BZ188" i="2"/>
  <c r="BR48" i="2"/>
  <c r="BR50" i="2"/>
  <c r="O69" i="1"/>
  <c r="M92" i="2"/>
  <c r="M99" i="2"/>
  <c r="M100" i="2" s="1"/>
  <c r="M93" i="2"/>
  <c r="Q92" i="2"/>
  <c r="CC53" i="2"/>
  <c r="CC47" i="2"/>
  <c r="CC55" i="2"/>
  <c r="CC54" i="2"/>
  <c r="E16" i="412"/>
  <c r="E16" i="411"/>
  <c r="E16" i="1"/>
  <c r="X82" i="2"/>
  <c r="X98" i="2" s="1"/>
  <c r="X104" i="2" s="1"/>
  <c r="BH60" i="2"/>
  <c r="BH59" i="2"/>
  <c r="N153" i="2"/>
  <c r="N15" i="2" s="1"/>
  <c r="N152" i="2"/>
  <c r="BD180" i="2"/>
  <c r="BH180" i="2"/>
  <c r="BD181" i="2"/>
  <c r="BE181" i="2"/>
  <c r="BH455" i="2"/>
  <c r="BH457" i="2"/>
  <c r="BH459" i="2" s="1"/>
  <c r="BU139" i="2"/>
  <c r="BW139" i="2"/>
  <c r="BV163" i="2"/>
  <c r="BU130" i="2"/>
  <c r="BV130" i="2"/>
  <c r="V455" i="2"/>
  <c r="V457" i="2"/>
  <c r="V459" i="2" s="1"/>
  <c r="L14" i="686"/>
  <c r="L22" i="686" s="1"/>
  <c r="M20" i="686"/>
  <c r="CC38" i="2"/>
  <c r="CC44" i="2"/>
  <c r="CC179" i="2"/>
  <c r="BF177" i="2"/>
  <c r="BF176" i="2"/>
  <c r="BG177" i="2"/>
  <c r="BU180" i="2"/>
  <c r="BU175" i="2"/>
  <c r="BU176" i="2" s="1"/>
  <c r="K66" i="551"/>
  <c r="AY50" i="2"/>
  <c r="AY49" i="2"/>
  <c r="AY48" i="2"/>
  <c r="AY188" i="2"/>
  <c r="Z27" i="686"/>
  <c r="U27" i="686"/>
  <c r="AB455" i="2"/>
  <c r="AB457" i="2"/>
  <c r="AB459" i="2" s="1"/>
  <c r="V188" i="753"/>
  <c r="V190" i="753"/>
  <c r="AR82" i="2"/>
  <c r="AR83" i="2"/>
  <c r="CD81" i="2"/>
  <c r="K101" i="686"/>
  <c r="K102" i="686"/>
  <c r="Z460" i="2"/>
  <c r="Z463" i="2"/>
  <c r="Z462" i="2"/>
  <c r="AD460" i="2"/>
  <c r="AZ457" i="2"/>
  <c r="AZ455" i="2"/>
  <c r="CF452" i="2"/>
  <c r="CF455" i="2" s="1"/>
  <c r="O72" i="2"/>
  <c r="O73" i="2"/>
  <c r="O76" i="2"/>
  <c r="O71" i="2"/>
  <c r="O89" i="2"/>
  <c r="O91" i="2" s="1"/>
  <c r="AN53" i="2"/>
  <c r="Q36" i="551"/>
  <c r="R74" i="551"/>
  <c r="AG462" i="2"/>
  <c r="AG460" i="2"/>
  <c r="AG463" i="2"/>
  <c r="AK460" i="2"/>
  <c r="X76" i="2"/>
  <c r="X89" i="2"/>
  <c r="X91" i="2" s="1"/>
  <c r="X72" i="2"/>
  <c r="X73" i="2"/>
  <c r="X71" i="2"/>
  <c r="BN179" i="2"/>
  <c r="BO181" i="2" s="1"/>
  <c r="BN177" i="2"/>
  <c r="AC152" i="2"/>
  <c r="AC153" i="2"/>
  <c r="AC15" i="2" s="1"/>
  <c r="AS78" i="2"/>
  <c r="CG38" i="2"/>
  <c r="CG44" i="2"/>
  <c r="CG179" i="2"/>
  <c r="AA78" i="2"/>
  <c r="K15" i="686"/>
  <c r="K16" i="686"/>
  <c r="BV72" i="2"/>
  <c r="BV76" i="2"/>
  <c r="BV71" i="2"/>
  <c r="BV89" i="2"/>
  <c r="BV91" i="2" s="1"/>
  <c r="BW92" i="2" s="1"/>
  <c r="BV73" i="2"/>
  <c r="BY144" i="2"/>
  <c r="BY13" i="2" s="1"/>
  <c r="BY11" i="2"/>
  <c r="BF181" i="2"/>
  <c r="BF180" i="2"/>
  <c r="BG181" i="2"/>
  <c r="BJ180" i="2"/>
  <c r="P97" i="551"/>
  <c r="P124" i="551" s="1"/>
  <c r="Q32" i="551" s="1"/>
  <c r="S73" i="565"/>
  <c r="AY82" i="2"/>
  <c r="AY98" i="2" s="1"/>
  <c r="AY104" i="2" s="1"/>
  <c r="Q71" i="551"/>
  <c r="AR73" i="2"/>
  <c r="AR71" i="2"/>
  <c r="AR72" i="2"/>
  <c r="AR76" i="2"/>
  <c r="AR89" i="2"/>
  <c r="CD70" i="2"/>
  <c r="AT72" i="2"/>
  <c r="AT73" i="2"/>
  <c r="AT71" i="2"/>
  <c r="AT76" i="2"/>
  <c r="AT89" i="2"/>
  <c r="AT91" i="2" s="1"/>
  <c r="AX71" i="2"/>
  <c r="AX73" i="2"/>
  <c r="CD23" i="2"/>
  <c r="CD22" i="2"/>
  <c r="BE153" i="2"/>
  <c r="BE15" i="2" s="1"/>
  <c r="BE152" i="2"/>
  <c r="CF185" i="2"/>
  <c r="CG185" i="2"/>
  <c r="BB152" i="2"/>
  <c r="BB153" i="2"/>
  <c r="BB15" i="2" s="1"/>
  <c r="AW177" i="2"/>
  <c r="AX177" i="2"/>
  <c r="AW176" i="2"/>
  <c r="AZ53" i="2"/>
  <c r="CF52" i="2"/>
  <c r="AZ47" i="2"/>
  <c r="BD66" i="2"/>
  <c r="AZ54" i="2"/>
  <c r="AZ55" i="2"/>
  <c r="AZ81" i="2"/>
  <c r="AZ70" i="2"/>
  <c r="Y190" i="753"/>
  <c r="Y188" i="753"/>
  <c r="Y194" i="753"/>
  <c r="BE82" i="2"/>
  <c r="BE98" i="2" s="1"/>
  <c r="BE104" i="2" s="1"/>
  <c r="BE83" i="2"/>
  <c r="BE85" i="2" s="1"/>
  <c r="CC459" i="2"/>
  <c r="AN463" i="2"/>
  <c r="AN462" i="2"/>
  <c r="O152" i="2"/>
  <c r="O153" i="2"/>
  <c r="O15" i="2" s="1"/>
  <c r="CD443" i="2"/>
  <c r="CD444" i="2"/>
  <c r="AO82" i="2"/>
  <c r="AO98" i="2" s="1"/>
  <c r="AO104" i="2" s="1"/>
  <c r="AO83" i="2"/>
  <c r="AO85" i="2" s="1"/>
  <c r="AS86" i="2" s="1"/>
  <c r="AC92" i="2"/>
  <c r="AC99" i="2"/>
  <c r="AC100" i="2" s="1"/>
  <c r="AC93" i="2"/>
  <c r="BX11" i="2"/>
  <c r="BX144" i="2"/>
  <c r="BX13" i="2" s="1"/>
  <c r="BF53" i="2"/>
  <c r="BF47" i="2"/>
  <c r="BF55" i="2"/>
  <c r="BF54" i="2"/>
  <c r="BF81" i="2"/>
  <c r="BJ66" i="2"/>
  <c r="BF70" i="2"/>
  <c r="Z207" i="753"/>
  <c r="Z189" i="753"/>
  <c r="AA194" i="753" s="1"/>
  <c r="Z175" i="753"/>
  <c r="BX452" i="2"/>
  <c r="BX444" i="2"/>
  <c r="BX443" i="2"/>
  <c r="BY443" i="2"/>
  <c r="AM47" i="2"/>
  <c r="AM55" i="2"/>
  <c r="AM70" i="2"/>
  <c r="AM54" i="2"/>
  <c r="AM81" i="2"/>
  <c r="AM53" i="2"/>
  <c r="AQ53" i="2"/>
  <c r="AQ55" i="2"/>
  <c r="R35" i="565"/>
  <c r="L94" i="562"/>
  <c r="L121" i="562" s="1"/>
  <c r="M29" i="562" s="1"/>
  <c r="BY175" i="2"/>
  <c r="BY176" i="2" s="1"/>
  <c r="BY180" i="2"/>
  <c r="S73" i="551"/>
  <c r="X460" i="2"/>
  <c r="X463" i="2"/>
  <c r="X462" i="2"/>
  <c r="AR49" i="2"/>
  <c r="AR48" i="2"/>
  <c r="AR50" i="2"/>
  <c r="AR188" i="2"/>
  <c r="AS49" i="2"/>
  <c r="P72" i="2"/>
  <c r="P73" i="2"/>
  <c r="P76" i="2"/>
  <c r="P71" i="2"/>
  <c r="P89" i="2"/>
  <c r="P91" i="2" s="1"/>
  <c r="AT55" i="2"/>
  <c r="P68" i="562"/>
  <c r="R100" i="562"/>
  <c r="R127" i="562" s="1"/>
  <c r="S35" i="562" s="1"/>
  <c r="AL55" i="2"/>
  <c r="AL70" i="2"/>
  <c r="AL54" i="2"/>
  <c r="AL47" i="2"/>
  <c r="AL53" i="2"/>
  <c r="AL81" i="2"/>
  <c r="AJ177" i="2"/>
  <c r="AJ176" i="2"/>
  <c r="CD175" i="2"/>
  <c r="CD180" i="2"/>
  <c r="AP463" i="2"/>
  <c r="AP462" i="2"/>
  <c r="AT460" i="2"/>
  <c r="M69" i="562"/>
  <c r="L31" i="562"/>
  <c r="AQ99" i="2"/>
  <c r="AQ93" i="2"/>
  <c r="CG52" i="2"/>
  <c r="BD47" i="2"/>
  <c r="BH48" i="2" s="1"/>
  <c r="BD55" i="2"/>
  <c r="BD81" i="2"/>
  <c r="BD54" i="2"/>
  <c r="BD70" i="2"/>
  <c r="BD53" i="2"/>
  <c r="BH66" i="2"/>
  <c r="M73" i="2"/>
  <c r="X55" i="2"/>
  <c r="BE49" i="2"/>
  <c r="BE50" i="2"/>
  <c r="BE188" i="2"/>
  <c r="BI48" i="2"/>
  <c r="I152" i="2"/>
  <c r="I153" i="2"/>
  <c r="I15" i="2" s="1"/>
  <c r="M83" i="2"/>
  <c r="M85" i="2" s="1"/>
  <c r="I82" i="2"/>
  <c r="I98" i="2" s="1"/>
  <c r="I104" i="2" s="1"/>
  <c r="I83" i="2"/>
  <c r="I85" i="2" s="1"/>
  <c r="BS50" i="2"/>
  <c r="BS48" i="2"/>
  <c r="T152" i="2"/>
  <c r="T153" i="2"/>
  <c r="T15" i="2" s="1"/>
  <c r="BY163" i="2"/>
  <c r="CC457" i="2"/>
  <c r="T128" i="565"/>
  <c r="U36" i="565" s="1"/>
  <c r="U74" i="565"/>
  <c r="AO48" i="2"/>
  <c r="AO49" i="2"/>
  <c r="AO50" i="2"/>
  <c r="AO188" i="2"/>
  <c r="AS48" i="2"/>
  <c r="CE23" i="2"/>
  <c r="CE22" i="2"/>
  <c r="M175" i="753"/>
  <c r="M189" i="753"/>
  <c r="M207" i="753"/>
  <c r="BV457" i="2"/>
  <c r="BV459" i="2" s="1"/>
  <c r="BV455" i="2"/>
  <c r="AI181" i="2"/>
  <c r="AI180" i="2"/>
  <c r="O98" i="551"/>
  <c r="O125" i="551" s="1"/>
  <c r="P33" i="551" s="1"/>
  <c r="AK176" i="2"/>
  <c r="AK177" i="2"/>
  <c r="AO176" i="2"/>
  <c r="L65" i="565"/>
  <c r="AE152" i="2"/>
  <c r="AE153" i="2"/>
  <c r="AE15" i="2" s="1"/>
  <c r="P69" i="412"/>
  <c r="AY153" i="2"/>
  <c r="AY15" i="2" s="1"/>
  <c r="CG206" i="2"/>
  <c r="AT49" i="2"/>
  <c r="AT50" i="2"/>
  <c r="AT48" i="2"/>
  <c r="AT188" i="2"/>
  <c r="R92" i="2"/>
  <c r="R99" i="2"/>
  <c r="R100" i="2" s="1"/>
  <c r="R101" i="2" s="1"/>
  <c r="R93" i="2"/>
  <c r="M78" i="2"/>
  <c r="Z152" i="2"/>
  <c r="Z153" i="2"/>
  <c r="Z15" i="2" s="1"/>
  <c r="AI152" i="2"/>
  <c r="AI153" i="2"/>
  <c r="AI15" i="2" s="1"/>
  <c r="BJ152" i="2"/>
  <c r="BJ153" i="2"/>
  <c r="BJ15" i="2" s="1"/>
  <c r="G90" i="565"/>
  <c r="G117" i="565" s="1"/>
  <c r="H25" i="565" s="1"/>
  <c r="X153" i="2"/>
  <c r="X15" i="2" s="1"/>
  <c r="I48" i="2"/>
  <c r="I49" i="2"/>
  <c r="I50" i="2"/>
  <c r="L66" i="565"/>
  <c r="K120" i="565"/>
  <c r="L28" i="565" s="1"/>
  <c r="AI457" i="2"/>
  <c r="AI459" i="2" s="1"/>
  <c r="AI455" i="2"/>
  <c r="BD153" i="2"/>
  <c r="BD15" i="2" s="1"/>
  <c r="BX340" i="2"/>
  <c r="AI177" i="2"/>
  <c r="AI176" i="2"/>
  <c r="AK180" i="2"/>
  <c r="AO180" i="2"/>
  <c r="AK181" i="2"/>
  <c r="AT152" i="2"/>
  <c r="AT153" i="2"/>
  <c r="AT15" i="2" s="1"/>
  <c r="AC83" i="2"/>
  <c r="AC85" i="2" s="1"/>
  <c r="AM649" i="2"/>
  <c r="CD53" i="2"/>
  <c r="CD47" i="2"/>
  <c r="CD55" i="2"/>
  <c r="CD54" i="2"/>
  <c r="F16" i="412"/>
  <c r="F16" i="411"/>
  <c r="F16" i="1"/>
  <c r="P82" i="2"/>
  <c r="P98" i="2" s="1"/>
  <c r="P104" i="2" s="1"/>
  <c r="P83" i="2"/>
  <c r="P85" i="2" s="1"/>
  <c r="T101" i="565"/>
  <c r="I10" i="412"/>
  <c r="I10" i="411"/>
  <c r="I10" i="1"/>
  <c r="M94" i="562"/>
  <c r="M121" i="562" s="1"/>
  <c r="N29" i="562" s="1"/>
  <c r="BA152" i="2"/>
  <c r="BA153" i="2"/>
  <c r="BA15" i="2" s="1"/>
  <c r="S82" i="2"/>
  <c r="S98" i="2" s="1"/>
  <c r="S104" i="2" s="1"/>
  <c r="AE49" i="2"/>
  <c r="AE48" i="2"/>
  <c r="AE50" i="2"/>
  <c r="AE188" i="2"/>
  <c r="AE190" i="2" s="1"/>
  <c r="R152" i="2"/>
  <c r="R153" i="2"/>
  <c r="R15" i="2" s="1"/>
  <c r="AQ78" i="2"/>
  <c r="CC23" i="2"/>
  <c r="CC22" i="2"/>
  <c r="BG460" i="2"/>
  <c r="BG463" i="2"/>
  <c r="BG464" i="2" s="1"/>
  <c r="BG462" i="2"/>
  <c r="BG99" i="2"/>
  <c r="BG100" i="2" s="1"/>
  <c r="BG93" i="2"/>
  <c r="F54" i="2"/>
  <c r="F47" i="2"/>
  <c r="F62" i="562"/>
  <c r="E24" i="562"/>
  <c r="X190" i="753"/>
  <c r="X188" i="753"/>
  <c r="X194" i="753"/>
  <c r="CB460" i="2"/>
  <c r="CB463" i="2"/>
  <c r="CB464" i="2" s="1"/>
  <c r="CB462" i="2"/>
  <c r="AV181" i="2"/>
  <c r="AV180" i="2"/>
  <c r="BG83" i="2"/>
  <c r="BG85" i="2" s="1"/>
  <c r="Z90" i="686"/>
  <c r="U90" i="686"/>
  <c r="AL457" i="2"/>
  <c r="AL459" i="2" s="1"/>
  <c r="AP460" i="2" s="1"/>
  <c r="AL455" i="2"/>
  <c r="AO76" i="2"/>
  <c r="AS77" i="2" s="1"/>
  <c r="AO89" i="2"/>
  <c r="AO91" i="2" s="1"/>
  <c r="AS92" i="2" s="1"/>
  <c r="AO71" i="2"/>
  <c r="AO72" i="2"/>
  <c r="AO73" i="2"/>
  <c r="V153" i="2"/>
  <c r="V15" i="2" s="1"/>
  <c r="S463" i="2"/>
  <c r="S462" i="2"/>
  <c r="S460" i="2"/>
  <c r="W460" i="2"/>
  <c r="AI649" i="2"/>
  <c r="L93" i="562"/>
  <c r="L120" i="562" s="1"/>
  <c r="M28" i="562" s="1"/>
  <c r="AA153" i="2"/>
  <c r="AA15" i="2" s="1"/>
  <c r="M68" i="565"/>
  <c r="H194" i="753"/>
  <c r="L194" i="753"/>
  <c r="H190" i="753"/>
  <c r="H188" i="753"/>
  <c r="AC105" i="2"/>
  <c r="CC107" i="2"/>
  <c r="E64" i="1"/>
  <c r="E64" i="412"/>
  <c r="E64" i="411"/>
  <c r="F49" i="565"/>
  <c r="F89" i="565"/>
  <c r="F116" i="565" s="1"/>
  <c r="G24" i="565" s="1"/>
  <c r="G89" i="565"/>
  <c r="G116" i="565" s="1"/>
  <c r="H24" i="565" s="1"/>
  <c r="CG144" i="2"/>
  <c r="CG13" i="2" s="1"/>
  <c r="Q99" i="562" l="1"/>
  <c r="Q98" i="565"/>
  <c r="N96" i="551"/>
  <c r="P97" i="562"/>
  <c r="H89" i="565"/>
  <c r="AB217" i="753"/>
  <c r="AB197" i="753"/>
  <c r="AC198" i="753"/>
  <c r="N94" i="562"/>
  <c r="N121" i="562" s="1"/>
  <c r="O29" i="562" s="1"/>
  <c r="S83" i="2"/>
  <c r="S85" i="2" s="1"/>
  <c r="F30" i="411"/>
  <c r="F19" i="411"/>
  <c r="F12" i="411"/>
  <c r="F20" i="411"/>
  <c r="W20" i="411"/>
  <c r="F58" i="411"/>
  <c r="F17" i="411"/>
  <c r="F18" i="411" s="1"/>
  <c r="F51" i="411"/>
  <c r="Q97" i="551"/>
  <c r="Q124" i="551" s="1"/>
  <c r="R32" i="551" s="1"/>
  <c r="CG54" i="2"/>
  <c r="CH59" i="2"/>
  <c r="CG55" i="2"/>
  <c r="CG53" i="2"/>
  <c r="CH66" i="2"/>
  <c r="I16" i="412"/>
  <c r="I16" i="411"/>
  <c r="I16" i="1"/>
  <c r="CG47" i="2"/>
  <c r="BF82" i="2"/>
  <c r="BF98" i="2" s="1"/>
  <c r="BF104" i="2" s="1"/>
  <c r="CF54" i="2"/>
  <c r="CF53" i="2"/>
  <c r="CF47" i="2"/>
  <c r="CF55" i="2"/>
  <c r="H16" i="412"/>
  <c r="H16" i="411"/>
  <c r="H16" i="1"/>
  <c r="CG66" i="2"/>
  <c r="K56" i="686"/>
  <c r="K55" i="686"/>
  <c r="K62" i="686"/>
  <c r="BC76" i="2"/>
  <c r="BC89" i="2"/>
  <c r="BC91" i="2" s="1"/>
  <c r="BC71" i="2"/>
  <c r="BC72" i="2"/>
  <c r="BC73" i="2"/>
  <c r="BG73" i="2"/>
  <c r="BG71" i="2"/>
  <c r="BH98" i="2"/>
  <c r="AE92" i="2"/>
  <c r="AE99" i="2"/>
  <c r="AE100" i="2" s="1"/>
  <c r="AE101" i="2" s="1"/>
  <c r="AE93" i="2"/>
  <c r="AG101" i="2"/>
  <c r="BA83" i="2"/>
  <c r="BA85" i="2" s="1"/>
  <c r="BA82" i="2"/>
  <c r="BA98" i="2" s="1"/>
  <c r="BA104" i="2" s="1"/>
  <c r="M93" i="562"/>
  <c r="M120" i="562" s="1"/>
  <c r="N28" i="562" s="1"/>
  <c r="G49" i="565"/>
  <c r="F17" i="412"/>
  <c r="F18" i="412" s="1"/>
  <c r="F51" i="412"/>
  <c r="F58" i="412" s="1"/>
  <c r="F30" i="412"/>
  <c r="F19" i="412"/>
  <c r="F12" i="412"/>
  <c r="F20" i="412"/>
  <c r="W20" i="412"/>
  <c r="AL48" i="2"/>
  <c r="AL49" i="2"/>
  <c r="AL50" i="2"/>
  <c r="AL188" i="2"/>
  <c r="T73" i="565"/>
  <c r="E30" i="411"/>
  <c r="E19" i="411"/>
  <c r="E20" i="411"/>
  <c r="E58" i="411"/>
  <c r="E51" i="411"/>
  <c r="E17" i="411"/>
  <c r="E12" i="411"/>
  <c r="BI189" i="2"/>
  <c r="AT99" i="2"/>
  <c r="AT100" i="2" s="1"/>
  <c r="AT93" i="2"/>
  <c r="AX92" i="2"/>
  <c r="X99" i="2"/>
  <c r="X100" i="2" s="1"/>
  <c r="X93" i="2"/>
  <c r="CC175" i="2"/>
  <c r="CC176" i="2" s="1"/>
  <c r="CC180" i="2"/>
  <c r="E51" i="412"/>
  <c r="E12" i="412"/>
  <c r="E19" i="412"/>
  <c r="E58" i="412"/>
  <c r="E30" i="412"/>
  <c r="W48" i="2"/>
  <c r="W50" i="2"/>
  <c r="W49" i="2"/>
  <c r="AA48" i="2"/>
  <c r="Q204" i="753"/>
  <c r="Q210" i="753"/>
  <c r="Q212" i="753" s="1"/>
  <c r="Q213" i="753" s="1"/>
  <c r="Q160" i="753"/>
  <c r="Q162" i="753"/>
  <c r="AV72" i="2"/>
  <c r="AV73" i="2"/>
  <c r="CE70" i="2"/>
  <c r="AV76" i="2"/>
  <c r="AV71" i="2"/>
  <c r="AV89" i="2"/>
  <c r="AE77" i="2"/>
  <c r="AE78" i="2"/>
  <c r="BA89" i="2"/>
  <c r="BA91" i="2" s="1"/>
  <c r="BA71" i="2"/>
  <c r="BA73" i="2"/>
  <c r="BA76" i="2"/>
  <c r="BA72" i="2"/>
  <c r="H10" i="412"/>
  <c r="H10" i="411"/>
  <c r="H10" i="1"/>
  <c r="AP76" i="2"/>
  <c r="AP72" i="2"/>
  <c r="AP73" i="2"/>
  <c r="AP89" i="2"/>
  <c r="AP91" i="2" s="1"/>
  <c r="AT92" i="2" s="1"/>
  <c r="AP71" i="2"/>
  <c r="R100" i="551"/>
  <c r="R127" i="551" s="1"/>
  <c r="S35" i="551" s="1"/>
  <c r="O70" i="565"/>
  <c r="CB53" i="2"/>
  <c r="CB55" i="2"/>
  <c r="CB54" i="2"/>
  <c r="D16" i="412"/>
  <c r="E20" i="412" s="1"/>
  <c r="D16" i="411"/>
  <c r="D16" i="1"/>
  <c r="E20" i="1" s="1"/>
  <c r="CB47" i="2"/>
  <c r="CC48" i="2" s="1"/>
  <c r="L95" i="565"/>
  <c r="L122" i="565" s="1"/>
  <c r="M30" i="565" s="1"/>
  <c r="T71" i="2"/>
  <c r="T72" i="2"/>
  <c r="T73" i="2"/>
  <c r="T76" i="2"/>
  <c r="T89" i="2"/>
  <c r="T91" i="2" s="1"/>
  <c r="X92" i="2" s="1"/>
  <c r="AE464" i="2"/>
  <c r="AN77" i="2"/>
  <c r="AN78" i="2"/>
  <c r="AW50" i="2"/>
  <c r="AW49" i="2"/>
  <c r="AW48" i="2"/>
  <c r="AW188" i="2"/>
  <c r="AX49" i="2"/>
  <c r="I40" i="686"/>
  <c r="W39" i="686"/>
  <c r="F79" i="686"/>
  <c r="F123" i="686"/>
  <c r="F84" i="686"/>
  <c r="AH189" i="2"/>
  <c r="AH190" i="2"/>
  <c r="AW462" i="2"/>
  <c r="AW460" i="2"/>
  <c r="BA460" i="2"/>
  <c r="AW463" i="2"/>
  <c r="CE459" i="2"/>
  <c r="N68" i="565"/>
  <c r="F49" i="2"/>
  <c r="F50" i="2"/>
  <c r="E19" i="1"/>
  <c r="E51" i="1"/>
  <c r="E58" i="1" s="1"/>
  <c r="E30" i="1"/>
  <c r="E17" i="1"/>
  <c r="E12" i="1"/>
  <c r="BZ189" i="2"/>
  <c r="W76" i="2"/>
  <c r="W89" i="2"/>
  <c r="W91" i="2" s="1"/>
  <c r="W71" i="2"/>
  <c r="W72" i="2"/>
  <c r="W73" i="2"/>
  <c r="AA71" i="2"/>
  <c r="AA73" i="2"/>
  <c r="R71" i="565"/>
  <c r="Q125" i="565"/>
  <c r="U67" i="686"/>
  <c r="Z67" i="686"/>
  <c r="BU92" i="2"/>
  <c r="BU99" i="2"/>
  <c r="BU100" i="2" s="1"/>
  <c r="BU93" i="2"/>
  <c r="AU77" i="2"/>
  <c r="AU78" i="2"/>
  <c r="AJ71" i="2"/>
  <c r="CB70" i="2"/>
  <c r="AJ72" i="2"/>
  <c r="AJ73" i="2"/>
  <c r="AJ76" i="2"/>
  <c r="AJ89" i="2"/>
  <c r="BV189" i="2"/>
  <c r="BW189" i="2"/>
  <c r="BY78" i="2"/>
  <c r="CC76" i="2"/>
  <c r="CC72" i="2"/>
  <c r="CC73" i="2"/>
  <c r="I45" i="686"/>
  <c r="W44" i="686"/>
  <c r="AT189" i="2"/>
  <c r="AT190" i="2"/>
  <c r="P98" i="551"/>
  <c r="P125" i="551" s="1"/>
  <c r="Q33" i="551" s="1"/>
  <c r="U128" i="565"/>
  <c r="V36" i="565" s="1"/>
  <c r="V74" i="565"/>
  <c r="AQ100" i="2"/>
  <c r="AQ105" i="2"/>
  <c r="AL89" i="2"/>
  <c r="AL91" i="2" s="1"/>
  <c r="AL71" i="2"/>
  <c r="AL72" i="2"/>
  <c r="AL73" i="2"/>
  <c r="AL76" i="2"/>
  <c r="AM76" i="2"/>
  <c r="AM89" i="2"/>
  <c r="AM91" i="2" s="1"/>
  <c r="AM71" i="2"/>
  <c r="AM72" i="2"/>
  <c r="AM73" i="2"/>
  <c r="AQ71" i="2"/>
  <c r="AQ73" i="2"/>
  <c r="BF48" i="2"/>
  <c r="BF49" i="2"/>
  <c r="BF50" i="2"/>
  <c r="BF188" i="2"/>
  <c r="BG49" i="2"/>
  <c r="CC462" i="2"/>
  <c r="CC460" i="2"/>
  <c r="CC463" i="2"/>
  <c r="CC464" i="2" s="1"/>
  <c r="AT77" i="2"/>
  <c r="AX77" i="2"/>
  <c r="AT78" i="2"/>
  <c r="X78" i="2"/>
  <c r="AZ459" i="2"/>
  <c r="CF457" i="2"/>
  <c r="BC48" i="2"/>
  <c r="BC49" i="2"/>
  <c r="BC50" i="2"/>
  <c r="BC188" i="2"/>
  <c r="BG48" i="2"/>
  <c r="F49" i="551"/>
  <c r="CA70" i="2"/>
  <c r="AF72" i="2"/>
  <c r="AF73" i="2"/>
  <c r="AF76" i="2"/>
  <c r="AF71" i="2"/>
  <c r="AF89" i="2"/>
  <c r="AF91" i="2" s="1"/>
  <c r="AP82" i="2"/>
  <c r="AP98" i="2" s="1"/>
  <c r="AP104" i="2" s="1"/>
  <c r="T463" i="2"/>
  <c r="T464" i="2" s="1"/>
  <c r="T460" i="2"/>
  <c r="T462" i="2"/>
  <c r="T83" i="2"/>
  <c r="T85" i="2" s="1"/>
  <c r="T86" i="2" s="1"/>
  <c r="T82" i="2"/>
  <c r="T98" i="2" s="1"/>
  <c r="T104" i="2" s="1"/>
  <c r="BY99" i="2"/>
  <c r="BY100" i="2" s="1"/>
  <c r="BY93" i="2"/>
  <c r="M105" i="2"/>
  <c r="AH83" i="2"/>
  <c r="AH85" i="2" s="1"/>
  <c r="AI82" i="2"/>
  <c r="AI98" i="2" s="1"/>
  <c r="AI104" i="2" s="1"/>
  <c r="AI83" i="2"/>
  <c r="AI85" i="2" s="1"/>
  <c r="AI86" i="2" s="1"/>
  <c r="H90" i="562"/>
  <c r="H91" i="551"/>
  <c r="H118" i="551" s="1"/>
  <c r="I26" i="551" s="1"/>
  <c r="BV176" i="2"/>
  <c r="BW176" i="2"/>
  <c r="BO38" i="2"/>
  <c r="BO31" i="2"/>
  <c r="CE53" i="2"/>
  <c r="CE55" i="2"/>
  <c r="CE54" i="2"/>
  <c r="CE47" i="2"/>
  <c r="G16" i="412"/>
  <c r="G16" i="411"/>
  <c r="G16" i="1"/>
  <c r="CF66" i="2"/>
  <c r="AY463" i="2"/>
  <c r="AY462" i="2"/>
  <c r="AY460" i="2"/>
  <c r="BC460" i="2"/>
  <c r="AF82" i="2"/>
  <c r="AF83" i="2" s="1"/>
  <c r="CA81" i="2"/>
  <c r="BH190" i="2"/>
  <c r="BI190" i="2"/>
  <c r="R97" i="551"/>
  <c r="R124" i="551" s="1"/>
  <c r="S32" i="551" s="1"/>
  <c r="M97" i="565"/>
  <c r="M124" i="565" s="1"/>
  <c r="N32" i="565" s="1"/>
  <c r="Q464" i="2"/>
  <c r="U464" i="2"/>
  <c r="BL140" i="2"/>
  <c r="BL184" i="2"/>
  <c r="BL124" i="2"/>
  <c r="BL149" i="2"/>
  <c r="BL153" i="2" s="1"/>
  <c r="BL15" i="2" s="1"/>
  <c r="BL9" i="2"/>
  <c r="AH105" i="2"/>
  <c r="BY105" i="2"/>
  <c r="R99" i="551"/>
  <c r="S464" i="2"/>
  <c r="W464" i="2"/>
  <c r="Q98" i="562"/>
  <c r="Q125" i="562" s="1"/>
  <c r="R33" i="562" s="1"/>
  <c r="AI463" i="2"/>
  <c r="AI462" i="2"/>
  <c r="AI460" i="2"/>
  <c r="AM460" i="2"/>
  <c r="N69" i="562"/>
  <c r="AM48" i="2"/>
  <c r="AM49" i="2"/>
  <c r="AM50" i="2"/>
  <c r="AM188" i="2"/>
  <c r="AQ48" i="2"/>
  <c r="BE105" i="2"/>
  <c r="AG464" i="2"/>
  <c r="AK464" i="2"/>
  <c r="AY190" i="2"/>
  <c r="AY189" i="2"/>
  <c r="CC50" i="2"/>
  <c r="CC188" i="2"/>
  <c r="Z76" i="2"/>
  <c r="Z72" i="2"/>
  <c r="Z73" i="2"/>
  <c r="Z89" i="2"/>
  <c r="Z91" i="2" s="1"/>
  <c r="Z71" i="2"/>
  <c r="H92" i="562"/>
  <c r="H119" i="562" s="1"/>
  <c r="I27" i="562" s="1"/>
  <c r="I92" i="562"/>
  <c r="I119" i="562" s="1"/>
  <c r="J27" i="562" s="1"/>
  <c r="BK157" i="2"/>
  <c r="CH157" i="2" s="1"/>
  <c r="CH162" i="2" s="1"/>
  <c r="BK158" i="2"/>
  <c r="CH159" i="2"/>
  <c r="CH164" i="2" s="1"/>
  <c r="I64" i="565"/>
  <c r="BS105" i="2"/>
  <c r="R71" i="562"/>
  <c r="AV82" i="2"/>
  <c r="CE81" i="2"/>
  <c r="AV83" i="2"/>
  <c r="N123" i="551"/>
  <c r="O31" i="551" s="1"/>
  <c r="O69" i="551"/>
  <c r="I92" i="551"/>
  <c r="I119" i="551" s="1"/>
  <c r="J27" i="551" s="1"/>
  <c r="BB460" i="2"/>
  <c r="BB463" i="2"/>
  <c r="BB464" i="2" s="1"/>
  <c r="BB462" i="2"/>
  <c r="N96" i="565"/>
  <c r="R58" i="753"/>
  <c r="S63" i="753"/>
  <c r="O121" i="562"/>
  <c r="P29" i="562" s="1"/>
  <c r="P67" i="562"/>
  <c r="H99" i="2"/>
  <c r="H100" i="2" s="1"/>
  <c r="H93" i="2"/>
  <c r="AK82" i="2"/>
  <c r="AK98" i="2" s="1"/>
  <c r="AK104" i="2" s="1"/>
  <c r="H116" i="565"/>
  <c r="I24" i="565" s="1"/>
  <c r="I62" i="565"/>
  <c r="V82" i="2"/>
  <c r="V98" i="2" s="1"/>
  <c r="V104" i="2" s="1"/>
  <c r="O83" i="2"/>
  <c r="O85" i="2" s="1"/>
  <c r="O86" i="2" s="1"/>
  <c r="AB92" i="2"/>
  <c r="AB99" i="2"/>
  <c r="AB100" i="2" s="1"/>
  <c r="AB101" i="2" s="1"/>
  <c r="AB93" i="2"/>
  <c r="BY83" i="2"/>
  <c r="BY85" i="2" s="1"/>
  <c r="CC82" i="2"/>
  <c r="AN98" i="2"/>
  <c r="BI100" i="2"/>
  <c r="BI101" i="2" s="1"/>
  <c r="BI105" i="2"/>
  <c r="AP48" i="2"/>
  <c r="AP49" i="2"/>
  <c r="AP50" i="2"/>
  <c r="AP188" i="2"/>
  <c r="AQ49" i="2"/>
  <c r="R126" i="551"/>
  <c r="S72" i="551"/>
  <c r="BM32" i="2"/>
  <c r="BM180" i="2"/>
  <c r="BM181" i="2"/>
  <c r="T70" i="551"/>
  <c r="S197" i="753"/>
  <c r="S217" i="753"/>
  <c r="BJ83" i="2"/>
  <c r="BJ85" i="2" s="1"/>
  <c r="AJ50" i="2"/>
  <c r="AJ49" i="2"/>
  <c r="AJ48" i="2"/>
  <c r="AJ188" i="2"/>
  <c r="AK50" i="2"/>
  <c r="AK49" i="2"/>
  <c r="AK48" i="2"/>
  <c r="AK188" i="2"/>
  <c r="AI50" i="2"/>
  <c r="AI49" i="2"/>
  <c r="AI48" i="2"/>
  <c r="AI188" i="2"/>
  <c r="AB78" i="2"/>
  <c r="AB77" i="2"/>
  <c r="J79" i="686"/>
  <c r="X83" i="686"/>
  <c r="J123" i="686"/>
  <c r="L95" i="551"/>
  <c r="K95" i="551"/>
  <c r="K122" i="551" s="1"/>
  <c r="L30" i="551" s="1"/>
  <c r="CC81" i="2"/>
  <c r="T100" i="562"/>
  <c r="T127" i="562" s="1"/>
  <c r="U35" i="562" s="1"/>
  <c r="BZ77" i="2"/>
  <c r="BZ78" i="2"/>
  <c r="M66" i="565"/>
  <c r="AX86" i="2"/>
  <c r="AV49" i="2"/>
  <c r="AV50" i="2"/>
  <c r="AV48" i="2"/>
  <c r="AV188" i="2"/>
  <c r="CA55" i="2"/>
  <c r="CA54" i="2"/>
  <c r="CA47" i="2"/>
  <c r="CA53" i="2"/>
  <c r="T50" i="2"/>
  <c r="T49" i="2"/>
  <c r="T48" i="2"/>
  <c r="BE99" i="2"/>
  <c r="BE100" i="2" s="1"/>
  <c r="BE93" i="2"/>
  <c r="BE92" i="2"/>
  <c r="BW100" i="2"/>
  <c r="BW105" i="2"/>
  <c r="L122" i="551"/>
  <c r="M30" i="551" s="1"/>
  <c r="M68" i="551"/>
  <c r="AN85" i="2"/>
  <c r="CD50" i="2"/>
  <c r="CD48" i="2"/>
  <c r="CD188" i="2"/>
  <c r="CD189" i="2" s="1"/>
  <c r="CG175" i="2"/>
  <c r="CG180" i="2"/>
  <c r="G91" i="565"/>
  <c r="G118" i="565" s="1"/>
  <c r="H26" i="565" s="1"/>
  <c r="H49" i="565" s="1"/>
  <c r="H91" i="565"/>
  <c r="H118" i="565" s="1"/>
  <c r="I26" i="565" s="1"/>
  <c r="R67" i="565"/>
  <c r="CF175" i="2"/>
  <c r="CF180" i="2"/>
  <c r="U83" i="2"/>
  <c r="U85" i="2" s="1"/>
  <c r="U86" i="2" s="1"/>
  <c r="U82" i="2"/>
  <c r="U98" i="2" s="1"/>
  <c r="U104" i="2" s="1"/>
  <c r="O99" i="565"/>
  <c r="O126" i="565" s="1"/>
  <c r="P34" i="565" s="1"/>
  <c r="P99" i="565"/>
  <c r="P126" i="565" s="1"/>
  <c r="Q34" i="565" s="1"/>
  <c r="E50" i="2"/>
  <c r="E49" i="2"/>
  <c r="N123" i="565"/>
  <c r="O31" i="565" s="1"/>
  <c r="O69" i="565"/>
  <c r="AK89" i="2"/>
  <c r="AK91" i="2" s="1"/>
  <c r="AK71" i="2"/>
  <c r="AK73" i="2"/>
  <c r="AK76" i="2"/>
  <c r="AK72" i="2"/>
  <c r="BV462" i="2"/>
  <c r="BV463" i="2"/>
  <c r="BV460" i="2"/>
  <c r="BW460" i="2"/>
  <c r="T73" i="551"/>
  <c r="CD89" i="2"/>
  <c r="AR91" i="2"/>
  <c r="S74" i="551"/>
  <c r="V460" i="2"/>
  <c r="V463" i="2"/>
  <c r="V464" i="2" s="1"/>
  <c r="V462" i="2"/>
  <c r="Z83" i="2"/>
  <c r="Z85" i="2" s="1"/>
  <c r="Z82" i="2"/>
  <c r="Z98" i="2" s="1"/>
  <c r="Z104" i="2" s="1"/>
  <c r="AR459" i="2"/>
  <c r="CD457" i="2"/>
  <c r="R13" i="753"/>
  <c r="S24" i="753"/>
  <c r="R20" i="753"/>
  <c r="AT105" i="2"/>
  <c r="BH78" i="2"/>
  <c r="BH77" i="2"/>
  <c r="AF49" i="2"/>
  <c r="AF48" i="2"/>
  <c r="AF50" i="2"/>
  <c r="AF188" i="2"/>
  <c r="AG49" i="2"/>
  <c r="U50" i="2"/>
  <c r="U49" i="2"/>
  <c r="U48" i="2"/>
  <c r="J76" i="2"/>
  <c r="J72" i="2"/>
  <c r="J89" i="2"/>
  <c r="J91" i="2" s="1"/>
  <c r="N73" i="2"/>
  <c r="N71" i="2"/>
  <c r="Q72" i="565"/>
  <c r="BB83" i="2"/>
  <c r="BB85" i="2" s="1"/>
  <c r="BB86" i="2" s="1"/>
  <c r="BB82" i="2"/>
  <c r="BB98" i="2" s="1"/>
  <c r="BB104" i="2" s="1"/>
  <c r="CB176" i="2"/>
  <c r="Q66" i="562"/>
  <c r="V48" i="2"/>
  <c r="V49" i="2"/>
  <c r="V50" i="2"/>
  <c r="BE77" i="2"/>
  <c r="BE78" i="2"/>
  <c r="X39" i="686"/>
  <c r="K39" i="686"/>
  <c r="L39" i="686" s="1"/>
  <c r="J40" i="686"/>
  <c r="M96" i="686"/>
  <c r="M100" i="686"/>
  <c r="N94" i="686"/>
  <c r="Q69" i="412"/>
  <c r="AT464" i="2"/>
  <c r="Q68" i="562"/>
  <c r="AR78" i="2"/>
  <c r="AR77" i="2"/>
  <c r="L66" i="551"/>
  <c r="Q101" i="2"/>
  <c r="Z48" i="2"/>
  <c r="Z50" i="2"/>
  <c r="Z49" i="2"/>
  <c r="AA49" i="2"/>
  <c r="J93" i="551"/>
  <c r="J120" i="551" s="1"/>
  <c r="K28" i="551" s="1"/>
  <c r="BS99" i="2"/>
  <c r="BS93" i="2"/>
  <c r="BT92" i="2"/>
  <c r="Z50" i="686"/>
  <c r="U50" i="686"/>
  <c r="AU189" i="2"/>
  <c r="AU190" i="2"/>
  <c r="BH91" i="2"/>
  <c r="U89" i="2"/>
  <c r="U91" i="2" s="1"/>
  <c r="Y92" i="2" s="1"/>
  <c r="U71" i="2"/>
  <c r="U73" i="2"/>
  <c r="U76" i="2"/>
  <c r="U72" i="2"/>
  <c r="D79" i="686"/>
  <c r="E80" i="686" s="1"/>
  <c r="D84" i="686"/>
  <c r="E85" i="686" s="1"/>
  <c r="D123" i="686"/>
  <c r="J82" i="2"/>
  <c r="J98" i="2" s="1"/>
  <c r="J104" i="2" s="1"/>
  <c r="Y83" i="2"/>
  <c r="Y85" i="2" s="1"/>
  <c r="Y86" i="2" s="1"/>
  <c r="BV83" i="2"/>
  <c r="BV85" i="2" s="1"/>
  <c r="H48" i="2"/>
  <c r="V89" i="2"/>
  <c r="V91" i="2" s="1"/>
  <c r="V71" i="2"/>
  <c r="V72" i="2"/>
  <c r="V73" i="2"/>
  <c r="V76" i="2"/>
  <c r="BG105" i="2"/>
  <c r="AS105" i="2"/>
  <c r="AH92" i="2"/>
  <c r="AH99" i="2"/>
  <c r="AH100" i="2" s="1"/>
  <c r="AH93" i="2"/>
  <c r="L102" i="686"/>
  <c r="L101" i="686"/>
  <c r="L93" i="565"/>
  <c r="L120" i="565" s="1"/>
  <c r="M28" i="565" s="1"/>
  <c r="L15" i="686"/>
  <c r="L16" i="686"/>
  <c r="CH38" i="2"/>
  <c r="CH179" i="2"/>
  <c r="Q57" i="753"/>
  <c r="Q59" i="753" s="1"/>
  <c r="Q60" i="753" s="1"/>
  <c r="Q14" i="753"/>
  <c r="Q15" i="753"/>
  <c r="Q51" i="753"/>
  <c r="M77" i="2"/>
  <c r="BX457" i="2"/>
  <c r="BX459" i="2" s="1"/>
  <c r="BX455" i="2"/>
  <c r="AZ71" i="2"/>
  <c r="AZ72" i="2"/>
  <c r="AZ73" i="2"/>
  <c r="AZ76" i="2"/>
  <c r="CF70" i="2"/>
  <c r="AZ89" i="2"/>
  <c r="R101" i="551"/>
  <c r="R128" i="551" s="1"/>
  <c r="S36" i="551" s="1"/>
  <c r="Q101" i="551"/>
  <c r="Q128" i="551" s="1"/>
  <c r="R36" i="551" s="1"/>
  <c r="BS78" i="2"/>
  <c r="BT77" i="2"/>
  <c r="BZ92" i="2"/>
  <c r="BZ99" i="2"/>
  <c r="BZ100" i="2" s="1"/>
  <c r="BZ101" i="2" s="1"/>
  <c r="BZ93" i="2"/>
  <c r="H62" i="551"/>
  <c r="BK37" i="2"/>
  <c r="BK43" i="2"/>
  <c r="AJ463" i="2"/>
  <c r="AJ464" i="2" s="1"/>
  <c r="AJ462" i="2"/>
  <c r="AJ460" i="2"/>
  <c r="E18" i="411"/>
  <c r="M54" i="686"/>
  <c r="N60" i="686"/>
  <c r="M62" i="686"/>
  <c r="BJ189" i="2"/>
  <c r="BJ190" i="2"/>
  <c r="BF464" i="2"/>
  <c r="BJ464" i="2"/>
  <c r="BJ78" i="2"/>
  <c r="AQ464" i="2"/>
  <c r="AU464" i="2"/>
  <c r="BB48" i="2"/>
  <c r="BB50" i="2"/>
  <c r="BB49" i="2"/>
  <c r="BB188" i="2"/>
  <c r="Y105" i="2"/>
  <c r="R211" i="753"/>
  <c r="S216" i="753"/>
  <c r="S219" i="753" s="1"/>
  <c r="S211" i="753" s="1"/>
  <c r="AB211" i="753" s="1"/>
  <c r="AB219" i="753" s="1"/>
  <c r="CE175" i="2"/>
  <c r="CE176" i="2" s="1"/>
  <c r="CE180" i="2"/>
  <c r="X49" i="2"/>
  <c r="BL32" i="2"/>
  <c r="BL181" i="2"/>
  <c r="BL180" i="2"/>
  <c r="BX55" i="2"/>
  <c r="BX81" i="2"/>
  <c r="BX54" i="2"/>
  <c r="BX53" i="2"/>
  <c r="BX70" i="2"/>
  <c r="BX47" i="2"/>
  <c r="BY55" i="2"/>
  <c r="BY53" i="2"/>
  <c r="AD83" i="2"/>
  <c r="AD85" i="2" s="1"/>
  <c r="BN140" i="2"/>
  <c r="BN124" i="2"/>
  <c r="BN184" i="2"/>
  <c r="BN149" i="2"/>
  <c r="BN153" i="2" s="1"/>
  <c r="BN15" i="2" s="1"/>
  <c r="BN9" i="2"/>
  <c r="AH78" i="2"/>
  <c r="AH77" i="2"/>
  <c r="U101" i="565"/>
  <c r="J65" i="562"/>
  <c r="N20" i="686"/>
  <c r="M14" i="686"/>
  <c r="M22" i="686"/>
  <c r="CH126" i="2"/>
  <c r="BK124" i="2"/>
  <c r="BO126" i="2"/>
  <c r="CI126" i="2" s="1"/>
  <c r="BK9" i="2"/>
  <c r="BK184" i="2"/>
  <c r="BK140" i="2"/>
  <c r="BK149" i="2"/>
  <c r="BK153" i="2" s="1"/>
  <c r="BK15" i="2" s="1"/>
  <c r="AG86" i="2"/>
  <c r="S100" i="562"/>
  <c r="S127" i="562" s="1"/>
  <c r="T35" i="562" s="1"/>
  <c r="CD76" i="2"/>
  <c r="CD71" i="2"/>
  <c r="CD72" i="2"/>
  <c r="CD73" i="2"/>
  <c r="AO99" i="2"/>
  <c r="AO100" i="2" s="1"/>
  <c r="AS101" i="2" s="1"/>
  <c r="AO93" i="2"/>
  <c r="AO92" i="2"/>
  <c r="E89" i="562"/>
  <c r="E116" i="562" s="1"/>
  <c r="F24" i="562" s="1"/>
  <c r="F49" i="562" s="1"/>
  <c r="E49" i="562"/>
  <c r="F89" i="562"/>
  <c r="M188" i="753"/>
  <c r="M194" i="753"/>
  <c r="M190" i="753"/>
  <c r="AO77" i="2"/>
  <c r="AO78" i="2"/>
  <c r="F116" i="562"/>
  <c r="G62" i="562"/>
  <c r="BD76" i="2"/>
  <c r="BD89" i="2"/>
  <c r="CG70" i="2"/>
  <c r="BD72" i="2"/>
  <c r="BD73" i="2"/>
  <c r="BD71" i="2"/>
  <c r="P92" i="2"/>
  <c r="P99" i="2"/>
  <c r="P100" i="2" s="1"/>
  <c r="P93" i="2"/>
  <c r="AO105" i="2"/>
  <c r="AZ83" i="2"/>
  <c r="AZ82" i="2"/>
  <c r="CF81" i="2"/>
  <c r="P69" i="1"/>
  <c r="G24" i="551"/>
  <c r="U73" i="562"/>
  <c r="E18" i="1"/>
  <c r="L55" i="686"/>
  <c r="L56" i="686"/>
  <c r="S92" i="2"/>
  <c r="S99" i="2"/>
  <c r="S100" i="2" s="1"/>
  <c r="S101" i="2" s="1"/>
  <c r="S93" i="2"/>
  <c r="T36" i="562"/>
  <c r="BH71" i="2"/>
  <c r="BZ105" i="2"/>
  <c r="Y99" i="2"/>
  <c r="Y100" i="2" s="1"/>
  <c r="AC101" i="2" s="1"/>
  <c r="Y93" i="2"/>
  <c r="BJ99" i="2"/>
  <c r="BJ100" i="2" s="1"/>
  <c r="BJ93" i="2"/>
  <c r="F190" i="753"/>
  <c r="F188" i="753"/>
  <c r="J194" i="753"/>
  <c r="BE464" i="2"/>
  <c r="BI464" i="2"/>
  <c r="R72" i="562"/>
  <c r="Q126" i="562"/>
  <c r="J64" i="551"/>
  <c r="K92" i="565"/>
  <c r="K119" i="565" s="1"/>
  <c r="L27" i="565" s="1"/>
  <c r="L92" i="565"/>
  <c r="Y464" i="2"/>
  <c r="AC464" i="2"/>
  <c r="G10" i="412"/>
  <c r="G10" i="411"/>
  <c r="G10" i="1"/>
  <c r="H105" i="2"/>
  <c r="Q69" i="411"/>
  <c r="M94" i="551"/>
  <c r="M121" i="551" s="1"/>
  <c r="N29" i="551" s="1"/>
  <c r="X48" i="2"/>
  <c r="L78" i="2"/>
  <c r="L77" i="2"/>
  <c r="AA105" i="2"/>
  <c r="J63" i="565"/>
  <c r="L94" i="565"/>
  <c r="L121" i="565" s="1"/>
  <c r="M29" i="565" s="1"/>
  <c r="L96" i="562"/>
  <c r="L123" i="562" s="1"/>
  <c r="M31" i="562" s="1"/>
  <c r="BE86" i="2"/>
  <c r="Q175" i="753"/>
  <c r="Q189" i="753"/>
  <c r="Q207" i="753"/>
  <c r="AY92" i="2"/>
  <c r="AY99" i="2"/>
  <c r="AY100" i="2" s="1"/>
  <c r="AY93" i="2"/>
  <c r="BZ86" i="2"/>
  <c r="AR85" i="2"/>
  <c r="AR86" i="2" s="1"/>
  <c r="CD83" i="2"/>
  <c r="CD85" i="2" s="1"/>
  <c r="X105" i="2"/>
  <c r="BI86" i="2"/>
  <c r="P124" i="562"/>
  <c r="Q32" i="562" s="1"/>
  <c r="Q70" i="562"/>
  <c r="R105" i="2"/>
  <c r="O94" i="562"/>
  <c r="L92" i="2"/>
  <c r="L99" i="2"/>
  <c r="L100" i="2" s="1"/>
  <c r="L101" i="2" s="1"/>
  <c r="L93" i="2"/>
  <c r="BB89" i="2"/>
  <c r="BB91" i="2" s="1"/>
  <c r="BB71" i="2"/>
  <c r="BB72" i="2"/>
  <c r="BB73" i="2"/>
  <c r="BB76" i="2"/>
  <c r="AL460" i="2"/>
  <c r="AL463" i="2"/>
  <c r="AL464" i="2" s="1"/>
  <c r="AL462" i="2"/>
  <c r="P86" i="2"/>
  <c r="L119" i="565"/>
  <c r="M27" i="565" s="1"/>
  <c r="M65" i="565"/>
  <c r="CG81" i="2"/>
  <c r="CL59" i="2" s="1"/>
  <c r="BD83" i="2"/>
  <c r="BD82" i="2"/>
  <c r="P78" i="2"/>
  <c r="P77" i="2"/>
  <c r="R100" i="565"/>
  <c r="R127" i="565" s="1"/>
  <c r="S35" i="565" s="1"/>
  <c r="S100" i="565"/>
  <c r="S127" i="565" s="1"/>
  <c r="T35" i="565" s="1"/>
  <c r="R71" i="551"/>
  <c r="F57" i="565"/>
  <c r="F59" i="565" s="1"/>
  <c r="F53" i="565"/>
  <c r="F54" i="565"/>
  <c r="H90" i="565"/>
  <c r="H117" i="565" s="1"/>
  <c r="I25" i="565" s="1"/>
  <c r="M86" i="2"/>
  <c r="Q86" i="2"/>
  <c r="BF76" i="2"/>
  <c r="BF72" i="2"/>
  <c r="BF73" i="2"/>
  <c r="BF71" i="2"/>
  <c r="BF89" i="2"/>
  <c r="BF91" i="2" s="1"/>
  <c r="BJ92" i="2" s="1"/>
  <c r="BV78" i="2"/>
  <c r="BV77" i="2"/>
  <c r="O77" i="2"/>
  <c r="O78" i="2"/>
  <c r="CD82" i="2"/>
  <c r="AR98" i="2"/>
  <c r="X83" i="2"/>
  <c r="X85" i="2" s="1"/>
  <c r="X86" i="2" s="1"/>
  <c r="AE105" i="2"/>
  <c r="H63" i="551"/>
  <c r="BC82" i="2"/>
  <c r="BC98" i="2" s="1"/>
  <c r="BC104" i="2" s="1"/>
  <c r="E57" i="551"/>
  <c r="E59" i="551" s="1"/>
  <c r="E53" i="551"/>
  <c r="E54" i="551"/>
  <c r="S78" i="2"/>
  <c r="S77" i="2"/>
  <c r="G49" i="2"/>
  <c r="G50" i="2"/>
  <c r="K48" i="2"/>
  <c r="K65" i="551"/>
  <c r="N95" i="562"/>
  <c r="N122" i="562" s="1"/>
  <c r="O30" i="562" s="1"/>
  <c r="J48" i="2"/>
  <c r="J49" i="2"/>
  <c r="J50" i="2"/>
  <c r="K49" i="2"/>
  <c r="N48" i="2"/>
  <c r="AD92" i="2"/>
  <c r="AD99" i="2"/>
  <c r="AD100" i="2" s="1"/>
  <c r="AD93" i="2"/>
  <c r="AU92" i="2"/>
  <c r="AU99" i="2"/>
  <c r="AU100" i="2" s="1"/>
  <c r="AU101" i="2" s="1"/>
  <c r="AU93" i="2"/>
  <c r="Q98" i="551"/>
  <c r="Q125" i="551" s="1"/>
  <c r="R33" i="551" s="1"/>
  <c r="E188" i="753"/>
  <c r="E190" i="753"/>
  <c r="BM9" i="2"/>
  <c r="BM184" i="2"/>
  <c r="BM124" i="2"/>
  <c r="BM149" i="2"/>
  <c r="BM153" i="2" s="1"/>
  <c r="BM15" i="2" s="1"/>
  <c r="BM140" i="2"/>
  <c r="BZ176" i="2"/>
  <c r="R147" i="753"/>
  <c r="R148" i="753" s="1"/>
  <c r="R149" i="753" s="1"/>
  <c r="S152" i="753"/>
  <c r="S155" i="753" s="1"/>
  <c r="S147" i="753" s="1"/>
  <c r="AN73" i="2"/>
  <c r="AW72" i="2"/>
  <c r="AW76" i="2"/>
  <c r="AW71" i="2"/>
  <c r="AW73" i="2"/>
  <c r="AW89" i="2"/>
  <c r="AW91" i="2" s="1"/>
  <c r="AN189" i="2"/>
  <c r="AN190" i="2"/>
  <c r="Z190" i="753"/>
  <c r="Z188" i="753"/>
  <c r="Z194" i="753"/>
  <c r="BV92" i="2"/>
  <c r="BV99" i="2"/>
  <c r="BV100" i="2" s="1"/>
  <c r="BV101" i="2" s="1"/>
  <c r="BV93" i="2"/>
  <c r="BN32" i="2"/>
  <c r="BN181" i="2"/>
  <c r="BN180" i="2"/>
  <c r="O92" i="2"/>
  <c r="O99" i="2"/>
  <c r="O100" i="2" s="1"/>
  <c r="O93" i="2"/>
  <c r="Y77" i="2"/>
  <c r="Y78" i="2"/>
  <c r="F17" i="1"/>
  <c r="F18" i="1" s="1"/>
  <c r="F51" i="1"/>
  <c r="F58" i="1" s="1"/>
  <c r="F19" i="1"/>
  <c r="F30" i="1"/>
  <c r="F20" i="1"/>
  <c r="W20" i="1"/>
  <c r="F12" i="1"/>
  <c r="AO189" i="2"/>
  <c r="AO190" i="2"/>
  <c r="AS189" i="2"/>
  <c r="BD48" i="2"/>
  <c r="BD50" i="2"/>
  <c r="BD49" i="2"/>
  <c r="BD188" i="2"/>
  <c r="AL82" i="2"/>
  <c r="AL98" i="2" s="1"/>
  <c r="AL104" i="2" s="1"/>
  <c r="AZ50" i="2"/>
  <c r="AZ48" i="2"/>
  <c r="AZ49" i="2"/>
  <c r="AZ188" i="2"/>
  <c r="AY83" i="2"/>
  <c r="AY85" i="2" s="1"/>
  <c r="AY86" i="2" s="1"/>
  <c r="BH462" i="2"/>
  <c r="BH460" i="2"/>
  <c r="BH463" i="2"/>
  <c r="BO159" i="2"/>
  <c r="CI159" i="2" s="1"/>
  <c r="CI164" i="2" s="1"/>
  <c r="W82" i="2"/>
  <c r="W98" i="2" s="1"/>
  <c r="W104" i="2" s="1"/>
  <c r="F90" i="551"/>
  <c r="F117" i="551" s="1"/>
  <c r="G25" i="551" s="1"/>
  <c r="G90" i="551"/>
  <c r="G117" i="551" s="1"/>
  <c r="H25" i="551" s="1"/>
  <c r="N67" i="551"/>
  <c r="AY78" i="2"/>
  <c r="AY77" i="2"/>
  <c r="BH83" i="2"/>
  <c r="BA50" i="2"/>
  <c r="BA48" i="2"/>
  <c r="BA49" i="2"/>
  <c r="BA188" i="2"/>
  <c r="AO464" i="2"/>
  <c r="AS464" i="2"/>
  <c r="AD77" i="2"/>
  <c r="AD78" i="2"/>
  <c r="L463" i="2"/>
  <c r="L462" i="2"/>
  <c r="L460" i="2"/>
  <c r="P460" i="2"/>
  <c r="W83" i="686"/>
  <c r="I123" i="686"/>
  <c r="I84" i="686"/>
  <c r="I79" i="686"/>
  <c r="H91" i="562"/>
  <c r="G91" i="562"/>
  <c r="G118" i="562" s="1"/>
  <c r="H26" i="562" s="1"/>
  <c r="AN49" i="2"/>
  <c r="I99" i="2"/>
  <c r="I100" i="2" s="1"/>
  <c r="M101" i="2" s="1"/>
  <c r="I93" i="2"/>
  <c r="H117" i="562"/>
  <c r="I63" i="562"/>
  <c r="Z464" i="2"/>
  <c r="AD464" i="2"/>
  <c r="CD176" i="2"/>
  <c r="U74" i="562"/>
  <c r="H118" i="562"/>
  <c r="I26" i="562" s="1"/>
  <c r="I64" i="562"/>
  <c r="F45" i="686"/>
  <c r="G45" i="686"/>
  <c r="AR189" i="2"/>
  <c r="AR190" i="2"/>
  <c r="AS190" i="2"/>
  <c r="AM82" i="2"/>
  <c r="AM98" i="2" s="1"/>
  <c r="AM104" i="2" s="1"/>
  <c r="AN464" i="2"/>
  <c r="AB460" i="2"/>
  <c r="AB463" i="2"/>
  <c r="AB462" i="2"/>
  <c r="AF460" i="2"/>
  <c r="R161" i="753"/>
  <c r="S165" i="753"/>
  <c r="S168" i="753" s="1"/>
  <c r="R174" i="753"/>
  <c r="R170" i="753"/>
  <c r="R169" i="753"/>
  <c r="N93" i="562"/>
  <c r="N120" i="562" s="1"/>
  <c r="O28" i="562" s="1"/>
  <c r="BD460" i="2"/>
  <c r="CG459" i="2"/>
  <c r="BD463" i="2"/>
  <c r="BD462" i="2"/>
  <c r="AU105" i="2"/>
  <c r="U107" i="686"/>
  <c r="Z107" i="686"/>
  <c r="AD73" i="2"/>
  <c r="K100" i="2"/>
  <c r="K105" i="2"/>
  <c r="AJ82" i="2"/>
  <c r="CB81" i="2"/>
  <c r="AD48" i="2"/>
  <c r="CC89" i="2"/>
  <c r="AN91" i="2"/>
  <c r="AW82" i="2"/>
  <c r="AW98" i="2" s="1"/>
  <c r="AW104" i="2" s="1"/>
  <c r="AW83" i="2"/>
  <c r="AW85" i="2" s="1"/>
  <c r="AW86" i="2" s="1"/>
  <c r="AI71" i="2"/>
  <c r="AI76" i="2"/>
  <c r="AI89" i="2"/>
  <c r="AI91" i="2" s="1"/>
  <c r="AI73" i="2"/>
  <c r="AI72" i="2"/>
  <c r="F40" i="686"/>
  <c r="G40" i="686"/>
  <c r="AN48" i="2"/>
  <c r="CE457" i="2"/>
  <c r="R98" i="562" l="1"/>
  <c r="E81" i="1"/>
  <c r="N94" i="551"/>
  <c r="U100" i="562"/>
  <c r="U127" i="562" s="1"/>
  <c r="V35" i="562" s="1"/>
  <c r="S101" i="551"/>
  <c r="F59" i="412"/>
  <c r="F81" i="412"/>
  <c r="I91" i="565"/>
  <c r="M93" i="565"/>
  <c r="H57" i="565"/>
  <c r="H59" i="565" s="1"/>
  <c r="H53" i="565"/>
  <c r="H54" i="565"/>
  <c r="T100" i="565"/>
  <c r="F81" i="1"/>
  <c r="F59" i="1"/>
  <c r="CI184" i="2"/>
  <c r="CI140" i="2"/>
  <c r="CI131" i="2"/>
  <c r="CI650" i="2" s="1"/>
  <c r="CI649" i="2" s="1"/>
  <c r="CI135" i="2"/>
  <c r="J92" i="562"/>
  <c r="N92" i="565"/>
  <c r="CA83" i="2"/>
  <c r="CA85" i="2" s="1"/>
  <c r="CA86" i="2" s="1"/>
  <c r="AF85" i="2"/>
  <c r="AF86" i="2" s="1"/>
  <c r="R98" i="551"/>
  <c r="AM83" i="2"/>
  <c r="AM85" i="2" s="1"/>
  <c r="M96" i="562"/>
  <c r="M123" i="562" s="1"/>
  <c r="N31" i="562" s="1"/>
  <c r="M92" i="565"/>
  <c r="P101" i="2"/>
  <c r="M15" i="686"/>
  <c r="M16" i="686"/>
  <c r="AN99" i="2"/>
  <c r="AN93" i="2"/>
  <c r="CC91" i="2"/>
  <c r="BC83" i="2"/>
  <c r="BC85" i="2" s="1"/>
  <c r="I105" i="2"/>
  <c r="J91" i="551"/>
  <c r="N14" i="686"/>
  <c r="O20" i="686"/>
  <c r="N22" i="686"/>
  <c r="BX48" i="2"/>
  <c r="BX50" i="2"/>
  <c r="BX188" i="2"/>
  <c r="BY48" i="2"/>
  <c r="BB189" i="2"/>
  <c r="BB190" i="2"/>
  <c r="M55" i="686"/>
  <c r="M56" i="686"/>
  <c r="M102" i="686"/>
  <c r="M101" i="686"/>
  <c r="AK77" i="2"/>
  <c r="AK78" i="2"/>
  <c r="AV189" i="2"/>
  <c r="AV190" i="2"/>
  <c r="Z78" i="2"/>
  <c r="Z77" i="2"/>
  <c r="BL14" i="2"/>
  <c r="BL10" i="2"/>
  <c r="BL12" i="2" s="1"/>
  <c r="BL21" i="2"/>
  <c r="BL42" i="2"/>
  <c r="BL90" i="2"/>
  <c r="BL41" i="2"/>
  <c r="BL25" i="2"/>
  <c r="CC78" i="2"/>
  <c r="V74" i="562"/>
  <c r="BD85" i="2"/>
  <c r="S72" i="562"/>
  <c r="AZ78" i="2"/>
  <c r="AZ77" i="2"/>
  <c r="AL83" i="2"/>
  <c r="AL85" i="2" s="1"/>
  <c r="AL86" i="2" s="1"/>
  <c r="AB147" i="753"/>
  <c r="S148" i="753"/>
  <c r="S149" i="753" s="1"/>
  <c r="BU105" i="2"/>
  <c r="N65" i="565"/>
  <c r="M119" i="565"/>
  <c r="N27" i="565" s="1"/>
  <c r="Q190" i="753"/>
  <c r="Q194" i="753"/>
  <c r="Q188" i="753"/>
  <c r="J119" i="562"/>
  <c r="K65" i="562"/>
  <c r="BX71" i="2"/>
  <c r="BX72" i="2"/>
  <c r="BX89" i="2"/>
  <c r="BX91" i="2" s="1"/>
  <c r="BX73" i="2"/>
  <c r="BX76" i="2"/>
  <c r="BY73" i="2"/>
  <c r="BY71" i="2"/>
  <c r="BH99" i="2"/>
  <c r="BH93" i="2"/>
  <c r="L120" i="551"/>
  <c r="M28" i="551" s="1"/>
  <c r="M66" i="551"/>
  <c r="AF189" i="2"/>
  <c r="AF190" i="2"/>
  <c r="AG190" i="2"/>
  <c r="N68" i="551"/>
  <c r="J119" i="686"/>
  <c r="X123" i="686"/>
  <c r="AP190" i="2"/>
  <c r="AP189" i="2"/>
  <c r="AQ190" i="2"/>
  <c r="J64" i="565"/>
  <c r="I118" i="565"/>
  <c r="J26" i="565" s="1"/>
  <c r="N97" i="565"/>
  <c r="N124" i="565" s="1"/>
  <c r="O32" i="565" s="1"/>
  <c r="T105" i="2"/>
  <c r="AP83" i="2"/>
  <c r="W74" i="565"/>
  <c r="E44" i="1"/>
  <c r="E32" i="1"/>
  <c r="E69" i="1"/>
  <c r="E37" i="1"/>
  <c r="E78" i="1"/>
  <c r="Q179" i="753"/>
  <c r="Q203" i="753"/>
  <c r="H19" i="1"/>
  <c r="H17" i="1"/>
  <c r="H51" i="1"/>
  <c r="H58" i="1" s="1"/>
  <c r="H30" i="1"/>
  <c r="H20" i="1"/>
  <c r="H12" i="1"/>
  <c r="H24" i="1"/>
  <c r="I89" i="565"/>
  <c r="BV105" i="2"/>
  <c r="BL147" i="2"/>
  <c r="BL152" i="2" s="1"/>
  <c r="BL129" i="2"/>
  <c r="BL138" i="2"/>
  <c r="AF92" i="2"/>
  <c r="AF93" i="2"/>
  <c r="P70" i="565"/>
  <c r="E14" i="411"/>
  <c r="F14" i="412"/>
  <c r="F13" i="412"/>
  <c r="BH104" i="2"/>
  <c r="H17" i="411"/>
  <c r="H51" i="411"/>
  <c r="H58" i="411" s="1"/>
  <c r="H30" i="411"/>
  <c r="H19" i="411"/>
  <c r="H20" i="411"/>
  <c r="H24" i="411"/>
  <c r="H12" i="411"/>
  <c r="O96" i="551"/>
  <c r="AI78" i="2"/>
  <c r="AI77" i="2"/>
  <c r="F31" i="1"/>
  <c r="F44" i="1"/>
  <c r="F32" i="1"/>
  <c r="F37" i="1"/>
  <c r="F78" i="1"/>
  <c r="F69" i="1"/>
  <c r="AW78" i="2"/>
  <c r="AW77" i="2"/>
  <c r="BA189" i="2"/>
  <c r="BA190" i="2"/>
  <c r="BD189" i="2"/>
  <c r="BD190" i="2"/>
  <c r="S105" i="2"/>
  <c r="H117" i="551"/>
  <c r="I25" i="551" s="1"/>
  <c r="I90" i="551" s="1"/>
  <c r="I63" i="551"/>
  <c r="BF78" i="2"/>
  <c r="BF77" i="2"/>
  <c r="CD77" i="2"/>
  <c r="CD78" i="2"/>
  <c r="AJ190" i="2"/>
  <c r="AJ189" i="2"/>
  <c r="I80" i="686"/>
  <c r="W79" i="686"/>
  <c r="AB105" i="2"/>
  <c r="L65" i="551"/>
  <c r="V73" i="562"/>
  <c r="BX463" i="2"/>
  <c r="BX462" i="2"/>
  <c r="BX460" i="2"/>
  <c r="BY460" i="2"/>
  <c r="AH101" i="2"/>
  <c r="BV86" i="2"/>
  <c r="BW86" i="2"/>
  <c r="S128" i="551"/>
  <c r="T74" i="551"/>
  <c r="AK92" i="2"/>
  <c r="AK99" i="2"/>
  <c r="AK100" i="2" s="1"/>
  <c r="AK101" i="2" s="1"/>
  <c r="AK93" i="2"/>
  <c r="K79" i="686"/>
  <c r="J80" i="686"/>
  <c r="X79" i="686"/>
  <c r="V83" i="2"/>
  <c r="V85" i="2" s="1"/>
  <c r="V86" i="2" s="1"/>
  <c r="CH158" i="2"/>
  <c r="CH163" i="2" s="1"/>
  <c r="BL158" i="2"/>
  <c r="AY464" i="2"/>
  <c r="BC464" i="2"/>
  <c r="R33" i="565"/>
  <c r="BA77" i="2"/>
  <c r="BA78" i="2"/>
  <c r="H20" i="412"/>
  <c r="H24" i="412"/>
  <c r="H17" i="412"/>
  <c r="H18" i="412" s="1"/>
  <c r="H51" i="412"/>
  <c r="H58" i="412" s="1"/>
  <c r="H19" i="412"/>
  <c r="H30" i="412"/>
  <c r="H12" i="412"/>
  <c r="CG73" i="2"/>
  <c r="CG76" i="2"/>
  <c r="CG71" i="2"/>
  <c r="CG72" i="2"/>
  <c r="BX82" i="2"/>
  <c r="BX98" i="2" s="1"/>
  <c r="BX104" i="2" s="1"/>
  <c r="M39" i="686"/>
  <c r="L43" i="686"/>
  <c r="AR92" i="2"/>
  <c r="AR99" i="2"/>
  <c r="AR93" i="2"/>
  <c r="CD91" i="2"/>
  <c r="P69" i="565"/>
  <c r="BW101" i="2"/>
  <c r="BL185" i="2"/>
  <c r="BL186" i="2"/>
  <c r="AF78" i="2"/>
  <c r="AF77" i="2"/>
  <c r="AZ463" i="2"/>
  <c r="AZ464" i="2" s="1"/>
  <c r="CF459" i="2"/>
  <c r="CG460" i="2" s="1"/>
  <c r="AZ460" i="2"/>
  <c r="AZ462" i="2"/>
  <c r="S71" i="565"/>
  <c r="T92" i="2"/>
  <c r="T99" i="2"/>
  <c r="T100" i="2" s="1"/>
  <c r="T101" i="2" s="1"/>
  <c r="T93" i="2"/>
  <c r="F32" i="412"/>
  <c r="F44" i="412"/>
  <c r="F31" i="412"/>
  <c r="F37" i="412"/>
  <c r="F69" i="412"/>
  <c r="F78" i="412"/>
  <c r="P94" i="562"/>
  <c r="P121" i="562" s="1"/>
  <c r="Q29" i="562" s="1"/>
  <c r="AJ98" i="2"/>
  <c r="CB82" i="2"/>
  <c r="J92" i="551"/>
  <c r="J119" i="551" s="1"/>
  <c r="K27" i="551" s="1"/>
  <c r="AI464" i="2"/>
  <c r="AM464" i="2"/>
  <c r="G17" i="1"/>
  <c r="G51" i="1"/>
  <c r="G19" i="1"/>
  <c r="G30" i="1"/>
  <c r="G20" i="1"/>
  <c r="G12" i="1"/>
  <c r="G24" i="1"/>
  <c r="G26" i="1" s="1"/>
  <c r="G58" i="1"/>
  <c r="I91" i="551"/>
  <c r="I118" i="551" s="1"/>
  <c r="J26" i="551" s="1"/>
  <c r="CB89" i="2"/>
  <c r="AJ91" i="2"/>
  <c r="T78" i="2"/>
  <c r="T77" i="2"/>
  <c r="E81" i="411"/>
  <c r="CF48" i="2"/>
  <c r="CF50" i="2"/>
  <c r="CF188" i="2"/>
  <c r="CF189" i="2" s="1"/>
  <c r="BD77" i="2"/>
  <c r="BD78" i="2"/>
  <c r="AC86" i="2"/>
  <c r="Q21" i="753"/>
  <c r="Q34" i="753"/>
  <c r="Q54" i="753"/>
  <c r="J105" i="2"/>
  <c r="R68" i="562"/>
  <c r="L105" i="2"/>
  <c r="G17" i="411"/>
  <c r="G18" i="411" s="1"/>
  <c r="G51" i="411"/>
  <c r="G30" i="411"/>
  <c r="G19" i="411"/>
  <c r="G20" i="411"/>
  <c r="G58" i="411"/>
  <c r="G24" i="411"/>
  <c r="G26" i="411" s="1"/>
  <c r="G12" i="411"/>
  <c r="X77" i="2"/>
  <c r="AJ78" i="2"/>
  <c r="AJ77" i="2"/>
  <c r="O68" i="565"/>
  <c r="F85" i="686"/>
  <c r="G85" i="686"/>
  <c r="S100" i="551"/>
  <c r="S127" i="551" s="1"/>
  <c r="T35" i="551" s="1"/>
  <c r="BA92" i="2"/>
  <c r="BA99" i="2"/>
  <c r="BA100" i="2" s="1"/>
  <c r="BA93" i="2"/>
  <c r="R72" i="565"/>
  <c r="AJ83" i="2"/>
  <c r="S174" i="753"/>
  <c r="S161" i="753"/>
  <c r="S170" i="753"/>
  <c r="S169" i="753"/>
  <c r="AB169" i="753" s="1"/>
  <c r="I25" i="562"/>
  <c r="BH85" i="2"/>
  <c r="BH86" i="2" s="1"/>
  <c r="W83" i="2"/>
  <c r="W85" i="2" s="1"/>
  <c r="O101" i="2"/>
  <c r="CD98" i="2"/>
  <c r="AR104" i="2"/>
  <c r="R160" i="753"/>
  <c r="R204" i="753"/>
  <c r="R210" i="753"/>
  <c r="R212" i="753" s="1"/>
  <c r="R213" i="753" s="1"/>
  <c r="R162" i="753"/>
  <c r="I118" i="562"/>
  <c r="J26" i="562" s="1"/>
  <c r="J64" i="562"/>
  <c r="I91" i="562"/>
  <c r="H90" i="551"/>
  <c r="P105" i="2"/>
  <c r="S97" i="551"/>
  <c r="S124" i="551" s="1"/>
  <c r="T32" i="551" s="1"/>
  <c r="G18" i="1"/>
  <c r="E57" i="562"/>
  <c r="E59" i="562" s="1"/>
  <c r="E54" i="562"/>
  <c r="E53" i="562"/>
  <c r="BJ77" i="2"/>
  <c r="J83" i="2"/>
  <c r="J85" i="2" s="1"/>
  <c r="N86" i="2" s="1"/>
  <c r="U73" i="551"/>
  <c r="Q99" i="565"/>
  <c r="Q126" i="565" s="1"/>
  <c r="R34" i="565" s="1"/>
  <c r="BE101" i="2"/>
  <c r="N66" i="565"/>
  <c r="M120" i="565"/>
  <c r="N28" i="565" s="1"/>
  <c r="N93" i="565" s="1"/>
  <c r="J62" i="565"/>
  <c r="I116" i="565"/>
  <c r="J24" i="565" s="1"/>
  <c r="O123" i="551"/>
  <c r="P69" i="551"/>
  <c r="G58" i="412"/>
  <c r="G24" i="412"/>
  <c r="G26" i="412" s="1"/>
  <c r="G17" i="412"/>
  <c r="G51" i="412"/>
  <c r="G30" i="412"/>
  <c r="G12" i="412"/>
  <c r="G19" i="412"/>
  <c r="G20" i="412"/>
  <c r="CA76" i="2"/>
  <c r="CA89" i="2"/>
  <c r="CA91" i="2" s="1"/>
  <c r="CA71" i="2"/>
  <c r="CA72" i="2"/>
  <c r="CA73" i="2"/>
  <c r="F119" i="686"/>
  <c r="F124" i="686"/>
  <c r="Q97" i="562"/>
  <c r="R175" i="753"/>
  <c r="R189" i="753"/>
  <c r="R207" i="753"/>
  <c r="R69" i="411"/>
  <c r="I119" i="686"/>
  <c r="W123" i="686"/>
  <c r="I124" i="686"/>
  <c r="I90" i="565"/>
  <c r="I117" i="565" s="1"/>
  <c r="J25" i="565" s="1"/>
  <c r="J90" i="565"/>
  <c r="BD91" i="2"/>
  <c r="CG89" i="2"/>
  <c r="BH464" i="2"/>
  <c r="BM129" i="2"/>
  <c r="BM138" i="2"/>
  <c r="BM147" i="2"/>
  <c r="BM152" i="2" s="1"/>
  <c r="BB77" i="2"/>
  <c r="BB78" i="2"/>
  <c r="AB86" i="2"/>
  <c r="M94" i="565"/>
  <c r="M121" i="565" s="1"/>
  <c r="N29" i="565" s="1"/>
  <c r="Q69" i="1"/>
  <c r="H62" i="562"/>
  <c r="BN90" i="2"/>
  <c r="BN42" i="2"/>
  <c r="BN41" i="2"/>
  <c r="BN10" i="2"/>
  <c r="BN12" i="2" s="1"/>
  <c r="BN14" i="2"/>
  <c r="BN25" i="2"/>
  <c r="BN21" i="2" s="1"/>
  <c r="CI32" i="2"/>
  <c r="BL38" i="2"/>
  <c r="BL31" i="2"/>
  <c r="BL44" i="2"/>
  <c r="I62" i="551"/>
  <c r="D119" i="686"/>
  <c r="E120" i="686" s="1"/>
  <c r="D124" i="686"/>
  <c r="E125" i="686" s="1"/>
  <c r="AP464" i="2"/>
  <c r="BJ105" i="2"/>
  <c r="CG176" i="2"/>
  <c r="AI190" i="2"/>
  <c r="AI189" i="2"/>
  <c r="I49" i="565"/>
  <c r="CE50" i="2"/>
  <c r="CE48" i="2"/>
  <c r="CE188" i="2"/>
  <c r="CE189" i="2" s="1"/>
  <c r="AM93" i="2"/>
  <c r="AM92" i="2"/>
  <c r="AM99" i="2"/>
  <c r="AM100" i="2" s="1"/>
  <c r="AM101" i="2" s="1"/>
  <c r="AQ92" i="2"/>
  <c r="X464" i="2"/>
  <c r="F80" i="686"/>
  <c r="G80" i="686"/>
  <c r="AT101" i="2"/>
  <c r="AX101" i="2"/>
  <c r="E44" i="411"/>
  <c r="E32" i="411"/>
  <c r="E69" i="411"/>
  <c r="E37" i="411"/>
  <c r="E78" i="411"/>
  <c r="BC93" i="2"/>
  <c r="BC92" i="2"/>
  <c r="BC99" i="2"/>
  <c r="BC100" i="2" s="1"/>
  <c r="BG92" i="2"/>
  <c r="F59" i="411"/>
  <c r="F81" i="411"/>
  <c r="BK186" i="2"/>
  <c r="BK185" i="2"/>
  <c r="J99" i="2"/>
  <c r="J100" i="2" s="1"/>
  <c r="N101" i="2" s="1"/>
  <c r="J93" i="2"/>
  <c r="N92" i="2"/>
  <c r="AM77" i="2"/>
  <c r="AM78" i="2"/>
  <c r="AQ77" i="2"/>
  <c r="CB71" i="2"/>
  <c r="CB72" i="2"/>
  <c r="CB73" i="2"/>
  <c r="CB76" i="2"/>
  <c r="M95" i="565"/>
  <c r="M122" i="565" s="1"/>
  <c r="N30" i="565" s="1"/>
  <c r="N95" i="565"/>
  <c r="N122" i="565" s="1"/>
  <c r="O30" i="565" s="1"/>
  <c r="AV91" i="2"/>
  <c r="CE89" i="2"/>
  <c r="T127" i="565"/>
  <c r="U35" i="565" s="1"/>
  <c r="U73" i="565"/>
  <c r="G57" i="565"/>
  <c r="G59" i="565" s="1"/>
  <c r="G53" i="565"/>
  <c r="G54" i="565"/>
  <c r="BC77" i="2"/>
  <c r="BC78" i="2"/>
  <c r="BG77" i="2"/>
  <c r="BF83" i="2"/>
  <c r="BF85" i="2" s="1"/>
  <c r="BF86" i="2" s="1"/>
  <c r="J63" i="562"/>
  <c r="W105" i="2"/>
  <c r="G49" i="551"/>
  <c r="G89" i="551"/>
  <c r="G116" i="551" s="1"/>
  <c r="H24" i="551" s="1"/>
  <c r="H49" i="551" s="1"/>
  <c r="BM185" i="2"/>
  <c r="BM186" i="2"/>
  <c r="J117" i="565"/>
  <c r="K25" i="565" s="1"/>
  <c r="K63" i="565"/>
  <c r="G18" i="412"/>
  <c r="Y101" i="2"/>
  <c r="G24" i="562"/>
  <c r="AK105" i="2"/>
  <c r="CE83" i="2"/>
  <c r="CE85" i="2" s="1"/>
  <c r="CE86" i="2" s="1"/>
  <c r="AV85" i="2"/>
  <c r="AV86" i="2" s="1"/>
  <c r="L464" i="2"/>
  <c r="P464" i="2"/>
  <c r="N121" i="551"/>
  <c r="O29" i="551" s="1"/>
  <c r="O67" i="551"/>
  <c r="F13" i="1"/>
  <c r="F14" i="1"/>
  <c r="BN38" i="2"/>
  <c r="BN31" i="2"/>
  <c r="BN44" i="2"/>
  <c r="BM90" i="2"/>
  <c r="BM42" i="2"/>
  <c r="BM25" i="2"/>
  <c r="BM14" i="2"/>
  <c r="BM10" i="2"/>
  <c r="BM12" i="2" s="1"/>
  <c r="BM41" i="2"/>
  <c r="AD105" i="2"/>
  <c r="F57" i="562"/>
  <c r="F59" i="562" s="1"/>
  <c r="F54" i="562"/>
  <c r="F53" i="562"/>
  <c r="AE42" i="815"/>
  <c r="BK90" i="2"/>
  <c r="BK42" i="2"/>
  <c r="BO19" i="2"/>
  <c r="BK14" i="2"/>
  <c r="BK21" i="2"/>
  <c r="CH9" i="2"/>
  <c r="BK10" i="2"/>
  <c r="BK12" i="2" s="1"/>
  <c r="BK41" i="2"/>
  <c r="BK25" i="2"/>
  <c r="BK44" i="2"/>
  <c r="BN185" i="2"/>
  <c r="BN186" i="2"/>
  <c r="CH175" i="2"/>
  <c r="CH176" i="2" s="1"/>
  <c r="CH180" i="2"/>
  <c r="L93" i="551"/>
  <c r="K93" i="551"/>
  <c r="K120" i="551" s="1"/>
  <c r="L28" i="551" s="1"/>
  <c r="R57" i="753"/>
  <c r="R59" i="753" s="1"/>
  <c r="R60" i="753" s="1"/>
  <c r="R14" i="753"/>
  <c r="R15" i="753" s="1"/>
  <c r="R51" i="753"/>
  <c r="U105" i="2"/>
  <c r="U70" i="551"/>
  <c r="AN104" i="2"/>
  <c r="CC98" i="2"/>
  <c r="AK83" i="2"/>
  <c r="AK85" i="2" s="1"/>
  <c r="AM189" i="2"/>
  <c r="AM190" i="2"/>
  <c r="AQ189" i="2"/>
  <c r="AI105" i="2"/>
  <c r="O96" i="565"/>
  <c r="O123" i="565" s="1"/>
  <c r="P31" i="565" s="1"/>
  <c r="F57" i="551"/>
  <c r="F59" i="551" s="1"/>
  <c r="F54" i="551"/>
  <c r="F53" i="551"/>
  <c r="AL77" i="2"/>
  <c r="AL78" i="2"/>
  <c r="W93" i="2"/>
  <c r="W92" i="2"/>
  <c r="W99" i="2"/>
  <c r="W100" i="2" s="1"/>
  <c r="AA92" i="2"/>
  <c r="AP99" i="2"/>
  <c r="AP100" i="2" s="1"/>
  <c r="AP93" i="2"/>
  <c r="AP92" i="2"/>
  <c r="E32" i="412"/>
  <c r="E37" i="412"/>
  <c r="E44" i="412"/>
  <c r="E69" i="412"/>
  <c r="E78" i="412"/>
  <c r="O93" i="562"/>
  <c r="O120" i="562" s="1"/>
  <c r="P28" i="562" s="1"/>
  <c r="CG50" i="2"/>
  <c r="CG48" i="2"/>
  <c r="CG188" i="2"/>
  <c r="R69" i="412"/>
  <c r="AI92" i="2"/>
  <c r="AI99" i="2"/>
  <c r="AI100" i="2" s="1"/>
  <c r="AI101" i="2" s="1"/>
  <c r="AI93" i="2"/>
  <c r="AB464" i="2"/>
  <c r="AF464" i="2"/>
  <c r="AW92" i="2"/>
  <c r="AW99" i="2"/>
  <c r="AW100" i="2" s="1"/>
  <c r="AW101" i="2" s="1"/>
  <c r="AW93" i="2"/>
  <c r="Q124" i="562"/>
  <c r="R70" i="562"/>
  <c r="J118" i="551"/>
  <c r="K26" i="551" s="1"/>
  <c r="K64" i="551"/>
  <c r="CF82" i="2"/>
  <c r="AZ98" i="2"/>
  <c r="BO140" i="2"/>
  <c r="BO9" i="2"/>
  <c r="BO124" i="2"/>
  <c r="CI124" i="2" s="1"/>
  <c r="BO184" i="2"/>
  <c r="BO149" i="2"/>
  <c r="BO153" i="2" s="1"/>
  <c r="BO15" i="2" s="1"/>
  <c r="BN129" i="2"/>
  <c r="BN147" i="2"/>
  <c r="BN152" i="2" s="1"/>
  <c r="BN138" i="2"/>
  <c r="V77" i="2"/>
  <c r="V78" i="2"/>
  <c r="J78" i="2"/>
  <c r="N77" i="2"/>
  <c r="BV464" i="2"/>
  <c r="BW464" i="2"/>
  <c r="M95" i="551"/>
  <c r="M122" i="551" s="1"/>
  <c r="N30" i="551" s="1"/>
  <c r="CE82" i="2"/>
  <c r="AV98" i="2"/>
  <c r="W77" i="2"/>
  <c r="W78" i="2"/>
  <c r="AA77" i="2"/>
  <c r="CE462" i="2"/>
  <c r="CE463" i="2"/>
  <c r="CB48" i="2"/>
  <c r="CB50" i="2"/>
  <c r="CB188" i="2"/>
  <c r="CB189" i="2" s="1"/>
  <c r="AV78" i="2"/>
  <c r="AV77" i="2"/>
  <c r="BE190" i="2"/>
  <c r="AL189" i="2"/>
  <c r="AL190" i="2"/>
  <c r="BA105" i="2"/>
  <c r="W17" i="1"/>
  <c r="I17" i="1"/>
  <c r="I18" i="1" s="1"/>
  <c r="I19" i="1"/>
  <c r="I30" i="1"/>
  <c r="I51" i="1"/>
  <c r="I58" i="1" s="1"/>
  <c r="I20" i="1"/>
  <c r="I24" i="1"/>
  <c r="I12" i="1"/>
  <c r="F13" i="411"/>
  <c r="F14" i="411"/>
  <c r="R125" i="562"/>
  <c r="S71" i="562"/>
  <c r="BH189" i="2"/>
  <c r="AH86" i="2"/>
  <c r="BC189" i="2"/>
  <c r="BC190" i="2"/>
  <c r="BG189" i="2"/>
  <c r="AW464" i="2"/>
  <c r="BA464" i="2"/>
  <c r="D19" i="1"/>
  <c r="D30" i="1"/>
  <c r="D51" i="1"/>
  <c r="D58" i="1" s="1"/>
  <c r="D12" i="1"/>
  <c r="D14" i="1" s="1"/>
  <c r="CE76" i="2"/>
  <c r="CE72" i="2"/>
  <c r="CE73" i="2"/>
  <c r="CE71" i="2"/>
  <c r="E81" i="412"/>
  <c r="BE189" i="2"/>
  <c r="BA86" i="2"/>
  <c r="I17" i="411"/>
  <c r="I18" i="411" s="1"/>
  <c r="I51" i="411"/>
  <c r="I58" i="411" s="1"/>
  <c r="I30" i="411"/>
  <c r="I19" i="411"/>
  <c r="I20" i="411"/>
  <c r="I24" i="411"/>
  <c r="W17" i="411"/>
  <c r="I12" i="411"/>
  <c r="AC217" i="753"/>
  <c r="AC197" i="753"/>
  <c r="AD198" i="753"/>
  <c r="W84" i="686"/>
  <c r="I85" i="686"/>
  <c r="T101" i="562"/>
  <c r="T128" i="562" s="1"/>
  <c r="U36" i="562" s="1"/>
  <c r="U101" i="562"/>
  <c r="U128" i="562" s="1"/>
  <c r="V36" i="562" s="1"/>
  <c r="CF83" i="2"/>
  <c r="CF85" i="2" s="1"/>
  <c r="AZ85" i="2"/>
  <c r="AZ86" i="2" s="1"/>
  <c r="BK147" i="2"/>
  <c r="BK152" i="2" s="1"/>
  <c r="CH124" i="2"/>
  <c r="BK134" i="2"/>
  <c r="BK143" i="2" s="1"/>
  <c r="BK138" i="2"/>
  <c r="BK129" i="2"/>
  <c r="AC216" i="753"/>
  <c r="AC219" i="753" s="1"/>
  <c r="AB218" i="753"/>
  <c r="AZ91" i="2"/>
  <c r="CF89" i="2"/>
  <c r="U77" i="2"/>
  <c r="U78" i="2"/>
  <c r="CD459" i="2"/>
  <c r="AR463" i="2"/>
  <c r="AR462" i="2"/>
  <c r="AR460" i="2"/>
  <c r="AV460" i="2"/>
  <c r="CG82" i="2"/>
  <c r="BD98" i="2"/>
  <c r="AY101" i="2"/>
  <c r="R34" i="562"/>
  <c r="AO101" i="2"/>
  <c r="CH184" i="2"/>
  <c r="CH185" i="2" s="1"/>
  <c r="CH140" i="2"/>
  <c r="CH131" i="2"/>
  <c r="CH650" i="2" s="1"/>
  <c r="CH649" i="2" s="1"/>
  <c r="CH135" i="2"/>
  <c r="AD86" i="2"/>
  <c r="CF71" i="2"/>
  <c r="CF72" i="2"/>
  <c r="CF76" i="2"/>
  <c r="CF73" i="2"/>
  <c r="V101" i="565"/>
  <c r="V128" i="565" s="1"/>
  <c r="W36" i="565" s="1"/>
  <c r="Z105" i="2"/>
  <c r="CF176" i="2"/>
  <c r="CA48" i="2"/>
  <c r="CA188" i="2"/>
  <c r="CA189" i="2" s="1"/>
  <c r="CA50" i="2"/>
  <c r="O105" i="2"/>
  <c r="BM31" i="2"/>
  <c r="BM38" i="2"/>
  <c r="BM44" i="2"/>
  <c r="Q67" i="562"/>
  <c r="Z99" i="2"/>
  <c r="Z100" i="2" s="1"/>
  <c r="Z101" i="2" s="1"/>
  <c r="Z93" i="2"/>
  <c r="Z92" i="2"/>
  <c r="BO37" i="2"/>
  <c r="BO43" i="2"/>
  <c r="CC71" i="2"/>
  <c r="E14" i="1"/>
  <c r="AW190" i="2"/>
  <c r="AW189" i="2"/>
  <c r="AX190" i="2"/>
  <c r="D30" i="411"/>
  <c r="E31" i="411" s="1"/>
  <c r="D19" i="411"/>
  <c r="D58" i="411"/>
  <c r="D81" i="411" s="1"/>
  <c r="D51" i="411"/>
  <c r="D12" i="411"/>
  <c r="D14" i="411" s="1"/>
  <c r="AP78" i="2"/>
  <c r="AP77" i="2"/>
  <c r="I20" i="412"/>
  <c r="I12" i="412"/>
  <c r="I24" i="412"/>
  <c r="W17" i="412"/>
  <c r="I19" i="412"/>
  <c r="I30" i="412"/>
  <c r="I51" i="412"/>
  <c r="I58" i="412" s="1"/>
  <c r="I17" i="412"/>
  <c r="I18" i="412" s="1"/>
  <c r="F31" i="411"/>
  <c r="F44" i="411"/>
  <c r="F32" i="411"/>
  <c r="F69" i="411"/>
  <c r="F37" i="411"/>
  <c r="F78" i="411"/>
  <c r="O95" i="562"/>
  <c r="O122" i="562" s="1"/>
  <c r="P30" i="562" s="1"/>
  <c r="BF99" i="2"/>
  <c r="BF100" i="2" s="1"/>
  <c r="BF101" i="2" s="1"/>
  <c r="BF93" i="2"/>
  <c r="BF92" i="2"/>
  <c r="Z86" i="2"/>
  <c r="AK189" i="2"/>
  <c r="AK190" i="2"/>
  <c r="T72" i="551"/>
  <c r="AL92" i="2"/>
  <c r="AL99" i="2"/>
  <c r="AL100" i="2" s="1"/>
  <c r="AL101" i="2" s="1"/>
  <c r="AL93" i="2"/>
  <c r="D51" i="412"/>
  <c r="D30" i="412"/>
  <c r="E31" i="412" s="1"/>
  <c r="D58" i="412"/>
  <c r="D81" i="412" s="1"/>
  <c r="D19" i="412"/>
  <c r="D12" i="412"/>
  <c r="D14" i="412" s="1"/>
  <c r="H18" i="1"/>
  <c r="E14" i="412"/>
  <c r="E13" i="412"/>
  <c r="S86" i="2"/>
  <c r="AZ190" i="2"/>
  <c r="AZ189" i="2"/>
  <c r="R125" i="551"/>
  <c r="S71" i="551"/>
  <c r="BB92" i="2"/>
  <c r="BB99" i="2"/>
  <c r="BB100" i="2" s="1"/>
  <c r="BB101" i="2" s="1"/>
  <c r="BB93" i="2"/>
  <c r="S67" i="565"/>
  <c r="AW105" i="2"/>
  <c r="CG463" i="2"/>
  <c r="CG462" i="2"/>
  <c r="N54" i="686"/>
  <c r="O60" i="686"/>
  <c r="V92" i="2"/>
  <c r="V99" i="2"/>
  <c r="V100" i="2" s="1"/>
  <c r="V101" i="2" s="1"/>
  <c r="V93" i="2"/>
  <c r="U92" i="2"/>
  <c r="U99" i="2"/>
  <c r="U100" i="2" s="1"/>
  <c r="U101" i="2" s="1"/>
  <c r="U93" i="2"/>
  <c r="N96" i="686"/>
  <c r="N100" i="686"/>
  <c r="O94" i="686"/>
  <c r="R66" i="562"/>
  <c r="S34" i="551"/>
  <c r="O69" i="562"/>
  <c r="AF98" i="2"/>
  <c r="AF104" i="2" s="1"/>
  <c r="CA82" i="2"/>
  <c r="CA98" i="2" s="1"/>
  <c r="CA104" i="2" s="1"/>
  <c r="BF190" i="2"/>
  <c r="BF189" i="2"/>
  <c r="BG190" i="2"/>
  <c r="H18" i="411"/>
  <c r="E17" i="412"/>
  <c r="E18" i="412" s="1"/>
  <c r="AY105" i="2"/>
  <c r="V101" i="562" l="1"/>
  <c r="V128" i="562" s="1"/>
  <c r="W36" i="562" s="1"/>
  <c r="N95" i="551"/>
  <c r="W101" i="565"/>
  <c r="P96" i="565"/>
  <c r="D81" i="1"/>
  <c r="E59" i="1"/>
  <c r="I59" i="1"/>
  <c r="I82" i="1"/>
  <c r="W59" i="1"/>
  <c r="I81" i="1"/>
  <c r="AD81" i="1" s="1"/>
  <c r="CI138" i="2"/>
  <c r="CI129" i="2"/>
  <c r="K42" i="686"/>
  <c r="R21" i="753"/>
  <c r="R34" i="753"/>
  <c r="R54" i="753"/>
  <c r="BN23" i="2"/>
  <c r="BN22" i="2"/>
  <c r="I59" i="411"/>
  <c r="W59" i="411"/>
  <c r="I82" i="411"/>
  <c r="I81" i="411"/>
  <c r="Q94" i="562"/>
  <c r="H59" i="411"/>
  <c r="H81" i="411"/>
  <c r="H82" i="411"/>
  <c r="R99" i="565"/>
  <c r="V100" i="562"/>
  <c r="H59" i="1"/>
  <c r="H82" i="1"/>
  <c r="H81" i="1"/>
  <c r="H59" i="412"/>
  <c r="H82" i="412"/>
  <c r="H81" i="412"/>
  <c r="I59" i="412"/>
  <c r="W59" i="412"/>
  <c r="I82" i="412"/>
  <c r="I81" i="412"/>
  <c r="I31" i="412"/>
  <c r="I44" i="412"/>
  <c r="I32" i="412"/>
  <c r="W31" i="412"/>
  <c r="I37" i="412"/>
  <c r="I69" i="412"/>
  <c r="I78" i="412"/>
  <c r="H57" i="551"/>
  <c r="H59" i="551" s="1"/>
  <c r="H54" i="551"/>
  <c r="H53" i="551"/>
  <c r="G31" i="411"/>
  <c r="G44" i="411"/>
  <c r="G32" i="411"/>
  <c r="G37" i="411"/>
  <c r="G69" i="411"/>
  <c r="G78" i="411"/>
  <c r="S70" i="562"/>
  <c r="O62" i="686"/>
  <c r="O54" i="686"/>
  <c r="P60" i="686"/>
  <c r="Y60" i="686"/>
  <c r="I69" i="1"/>
  <c r="I37" i="1"/>
  <c r="I31" i="1"/>
  <c r="I44" i="1"/>
  <c r="I32" i="1"/>
  <c r="W31" i="1"/>
  <c r="I78" i="1"/>
  <c r="CB77" i="2"/>
  <c r="CB78" i="2"/>
  <c r="N94" i="565"/>
  <c r="N121" i="565" s="1"/>
  <c r="O29" i="565" s="1"/>
  <c r="Q94" i="565" s="1"/>
  <c r="Q121" i="565" s="1"/>
  <c r="R29" i="565" s="1"/>
  <c r="AD197" i="753"/>
  <c r="AD217" i="753"/>
  <c r="F38" i="411"/>
  <c r="F39" i="411"/>
  <c r="CF86" i="2"/>
  <c r="T71" i="562"/>
  <c r="CH25" i="2"/>
  <c r="BK52" i="2"/>
  <c r="BK26" i="2"/>
  <c r="BN37" i="2"/>
  <c r="BN43" i="2"/>
  <c r="G49" i="562"/>
  <c r="G89" i="562"/>
  <c r="G116" i="562" s="1"/>
  <c r="H24" i="562" s="1"/>
  <c r="K63" i="562"/>
  <c r="F120" i="686"/>
  <c r="G120" i="686"/>
  <c r="J90" i="562"/>
  <c r="J117" i="562" s="1"/>
  <c r="K25" i="562" s="1"/>
  <c r="I90" i="562"/>
  <c r="I117" i="562" s="1"/>
  <c r="J25" i="562" s="1"/>
  <c r="BA101" i="2"/>
  <c r="BJ86" i="2"/>
  <c r="AJ92" i="2"/>
  <c r="CB91" i="2"/>
  <c r="AJ99" i="2"/>
  <c r="AJ93" i="2"/>
  <c r="CD93" i="2"/>
  <c r="CD92" i="2"/>
  <c r="BX92" i="2"/>
  <c r="BX99" i="2"/>
  <c r="BX100" i="2" s="1"/>
  <c r="BX93" i="2"/>
  <c r="BY92" i="2"/>
  <c r="AM105" i="2"/>
  <c r="O14" i="686"/>
  <c r="O22" i="686" s="1"/>
  <c r="P20" i="686"/>
  <c r="Y20" i="686"/>
  <c r="D44" i="1"/>
  <c r="D32" i="1"/>
  <c r="D78" i="1"/>
  <c r="D69" i="1"/>
  <c r="D37" i="1"/>
  <c r="D39" i="1" s="1"/>
  <c r="CA77" i="2"/>
  <c r="CA78" i="2"/>
  <c r="AZ92" i="2"/>
  <c r="AZ99" i="2"/>
  <c r="AZ93" i="2"/>
  <c r="CF91" i="2"/>
  <c r="I27" i="412"/>
  <c r="I26" i="412"/>
  <c r="I25" i="412"/>
  <c r="BM52" i="2"/>
  <c r="BM26" i="2"/>
  <c r="P69" i="562"/>
  <c r="N55" i="686"/>
  <c r="N56" i="686"/>
  <c r="AK86" i="2"/>
  <c r="AO86" i="2"/>
  <c r="P95" i="562"/>
  <c r="P122" i="562" s="1"/>
  <c r="Q30" i="562" s="1"/>
  <c r="S99" i="551"/>
  <c r="S126" i="551" s="1"/>
  <c r="T34" i="551" s="1"/>
  <c r="T99" i="551"/>
  <c r="T126" i="551" s="1"/>
  <c r="U34" i="551" s="1"/>
  <c r="U72" i="551"/>
  <c r="CF77" i="2"/>
  <c r="CF78" i="2"/>
  <c r="S33" i="562"/>
  <c r="CG189" i="2"/>
  <c r="W101" i="2"/>
  <c r="AA101" i="2"/>
  <c r="CC104" i="2"/>
  <c r="AN105" i="2"/>
  <c r="I89" i="551"/>
  <c r="I116" i="551" s="1"/>
  <c r="J24" i="551" s="1"/>
  <c r="AV92" i="2"/>
  <c r="AV99" i="2"/>
  <c r="AV93" i="2"/>
  <c r="CE91" i="2"/>
  <c r="BF105" i="2"/>
  <c r="K64" i="562"/>
  <c r="K91" i="551"/>
  <c r="AD101" i="2"/>
  <c r="AP85" i="2"/>
  <c r="CC83" i="2"/>
  <c r="CC85" i="2" s="1"/>
  <c r="W74" i="562"/>
  <c r="BL52" i="2"/>
  <c r="BL26" i="2"/>
  <c r="N15" i="686"/>
  <c r="N16" i="686"/>
  <c r="CI144" i="2"/>
  <c r="CI13" i="2" s="1"/>
  <c r="K46" i="686"/>
  <c r="CI11" i="2"/>
  <c r="K10" i="1" s="1"/>
  <c r="Y94" i="686"/>
  <c r="O96" i="686"/>
  <c r="O100" i="686"/>
  <c r="P94" i="686"/>
  <c r="S66" i="562"/>
  <c r="Q69" i="551"/>
  <c r="AB170" i="753"/>
  <c r="S175" i="753"/>
  <c r="S207" i="753"/>
  <c r="S189" i="753"/>
  <c r="CD99" i="2"/>
  <c r="CD100" i="2" s="1"/>
  <c r="AR100" i="2"/>
  <c r="AR101" i="2" s="1"/>
  <c r="H37" i="1"/>
  <c r="H31" i="1"/>
  <c r="H44" i="1"/>
  <c r="H32" i="1"/>
  <c r="H69" i="1"/>
  <c r="H78" i="1"/>
  <c r="AB148" i="753"/>
  <c r="AB149" i="753" s="1"/>
  <c r="AB155" i="753"/>
  <c r="Q121" i="562"/>
  <c r="R29" i="562" s="1"/>
  <c r="R94" i="562" s="1"/>
  <c r="R67" i="562"/>
  <c r="AR464" i="2"/>
  <c r="AV464" i="2"/>
  <c r="I13" i="411"/>
  <c r="I14" i="411"/>
  <c r="W13" i="411"/>
  <c r="CE78" i="2"/>
  <c r="CE77" i="2"/>
  <c r="V70" i="551"/>
  <c r="F54" i="411"/>
  <c r="F45" i="411"/>
  <c r="F46" i="411"/>
  <c r="F79" i="411"/>
  <c r="CD462" i="2"/>
  <c r="CD460" i="2"/>
  <c r="CD463" i="2"/>
  <c r="CD464" i="2" s="1"/>
  <c r="AV104" i="2"/>
  <c r="CE98" i="2"/>
  <c r="BO185" i="2"/>
  <c r="BO186" i="2"/>
  <c r="J8" i="412"/>
  <c r="CH10" i="2"/>
  <c r="CH12" i="2" s="1"/>
  <c r="CH21" i="2"/>
  <c r="CI19" i="2"/>
  <c r="J8" i="411"/>
  <c r="J8" i="1"/>
  <c r="CJ58" i="2"/>
  <c r="CH44" i="2"/>
  <c r="BC101" i="2"/>
  <c r="BG101" i="2"/>
  <c r="I125" i="686"/>
  <c r="W124" i="686"/>
  <c r="P31" i="551"/>
  <c r="S204" i="753"/>
  <c r="S160" i="753"/>
  <c r="S210" i="753"/>
  <c r="S212" i="753" s="1"/>
  <c r="S213" i="753" s="1"/>
  <c r="AB161" i="753"/>
  <c r="S162" i="753"/>
  <c r="G82" i="1"/>
  <c r="G59" i="1"/>
  <c r="G81" i="1"/>
  <c r="CF462" i="2"/>
  <c r="CF460" i="2"/>
  <c r="CF463" i="2"/>
  <c r="CF464" i="2" s="1"/>
  <c r="H13" i="412"/>
  <c r="H14" i="412"/>
  <c r="BM158" i="2"/>
  <c r="BL157" i="2"/>
  <c r="F38" i="1"/>
  <c r="F39" i="1"/>
  <c r="H31" i="411"/>
  <c r="H44" i="411"/>
  <c r="H32" i="411"/>
  <c r="H69" i="411"/>
  <c r="H37" i="411"/>
  <c r="H78" i="411"/>
  <c r="L65" i="562"/>
  <c r="CI90" i="2"/>
  <c r="N96" i="562"/>
  <c r="N123" i="562" s="1"/>
  <c r="O31" i="562" s="1"/>
  <c r="S68" i="562"/>
  <c r="H44" i="412"/>
  <c r="H32" i="412"/>
  <c r="H31" i="412"/>
  <c r="H37" i="412"/>
  <c r="H69" i="412"/>
  <c r="H78" i="412"/>
  <c r="K27" i="562"/>
  <c r="O94" i="565"/>
  <c r="O121" i="565" s="1"/>
  <c r="P29" i="565" s="1"/>
  <c r="CI185" i="2"/>
  <c r="BO129" i="2"/>
  <c r="BO147" i="2"/>
  <c r="BO152" i="2" s="1"/>
  <c r="BO138" i="2"/>
  <c r="BK23" i="2"/>
  <c r="BK22" i="2"/>
  <c r="J62" i="551"/>
  <c r="J49" i="565"/>
  <c r="N102" i="686"/>
  <c r="N101" i="686"/>
  <c r="BM37" i="2"/>
  <c r="BM43" i="2"/>
  <c r="J46" i="686"/>
  <c r="J86" i="686" s="1"/>
  <c r="J126" i="686" s="1"/>
  <c r="CH144" i="2"/>
  <c r="CH13" i="2" s="1"/>
  <c r="CH11" i="2"/>
  <c r="BO90" i="2"/>
  <c r="BO42" i="2"/>
  <c r="BO41" i="2"/>
  <c r="BO10" i="2"/>
  <c r="BO12" i="2" s="1"/>
  <c r="BO14" i="2"/>
  <c r="BO25" i="2"/>
  <c r="BO44" i="2"/>
  <c r="P67" i="551"/>
  <c r="K117" i="565"/>
  <c r="L25" i="565" s="1"/>
  <c r="L63" i="565"/>
  <c r="I62" i="562"/>
  <c r="I120" i="686"/>
  <c r="W119" i="686"/>
  <c r="CA93" i="2"/>
  <c r="CA92" i="2"/>
  <c r="CA99" i="2"/>
  <c r="CA100" i="2" s="1"/>
  <c r="CA101" i="2" s="1"/>
  <c r="K62" i="565"/>
  <c r="CB83" i="2"/>
  <c r="CB85" i="2" s="1"/>
  <c r="CB86" i="2" s="1"/>
  <c r="AJ85" i="2"/>
  <c r="G13" i="411"/>
  <c r="G14" i="411"/>
  <c r="G13" i="1"/>
  <c r="G14" i="1"/>
  <c r="N39" i="686"/>
  <c r="M43" i="686"/>
  <c r="I117" i="551"/>
  <c r="J63" i="551"/>
  <c r="F46" i="1"/>
  <c r="F54" i="1"/>
  <c r="F45" i="1"/>
  <c r="F79" i="1"/>
  <c r="CC189" i="2"/>
  <c r="N66" i="551"/>
  <c r="BL23" i="2"/>
  <c r="BL22" i="2"/>
  <c r="BC105" i="2"/>
  <c r="U100" i="565"/>
  <c r="S69" i="411"/>
  <c r="M93" i="551"/>
  <c r="M120" i="551" s="1"/>
  <c r="N28" i="551" s="1"/>
  <c r="R126" i="565"/>
  <c r="S72" i="565"/>
  <c r="G37" i="1"/>
  <c r="G31" i="1"/>
  <c r="G44" i="1"/>
  <c r="G32" i="1"/>
  <c r="G69" i="1"/>
  <c r="G78" i="1"/>
  <c r="BX83" i="2"/>
  <c r="BX85" i="2" s="1"/>
  <c r="BD464" i="2"/>
  <c r="CH104" i="2"/>
  <c r="BH105" i="2"/>
  <c r="CH105" i="2" s="1"/>
  <c r="BC86" i="2"/>
  <c r="BG86" i="2"/>
  <c r="AM86" i="2"/>
  <c r="AQ86" i="2"/>
  <c r="G59" i="411"/>
  <c r="G82" i="411"/>
  <c r="G81" i="411"/>
  <c r="Z83" i="411" s="1"/>
  <c r="I31" i="411"/>
  <c r="I44" i="411"/>
  <c r="I32" i="411"/>
  <c r="I69" i="411"/>
  <c r="I37" i="411"/>
  <c r="W31" i="411"/>
  <c r="I78" i="411"/>
  <c r="BM21" i="2"/>
  <c r="BL37" i="2"/>
  <c r="BL43" i="2"/>
  <c r="N120" i="565"/>
  <c r="O28" i="565" s="1"/>
  <c r="O93" i="565" s="1"/>
  <c r="O66" i="565"/>
  <c r="CD104" i="2"/>
  <c r="AR105" i="2"/>
  <c r="CD105" i="2" s="1"/>
  <c r="Q40" i="753"/>
  <c r="Q33" i="753"/>
  <c r="Q35" i="753"/>
  <c r="K92" i="551"/>
  <c r="K119" i="551" s="1"/>
  <c r="L27" i="551" s="1"/>
  <c r="F45" i="412"/>
  <c r="F46" i="412"/>
  <c r="F54" i="412"/>
  <c r="F79" i="412"/>
  <c r="O97" i="565"/>
  <c r="O124" i="565" s="1"/>
  <c r="P32" i="565" s="1"/>
  <c r="H27" i="412"/>
  <c r="H26" i="412"/>
  <c r="H25" i="412"/>
  <c r="L79" i="686"/>
  <c r="K83" i="686"/>
  <c r="K64" i="565"/>
  <c r="E39" i="411"/>
  <c r="E13" i="1"/>
  <c r="AC211" i="753"/>
  <c r="AD216" i="753"/>
  <c r="AD219" i="753" s="1"/>
  <c r="AD211" i="753" s="1"/>
  <c r="I14" i="1"/>
  <c r="W13" i="1"/>
  <c r="I13" i="1"/>
  <c r="K118" i="551"/>
  <c r="L26" i="551" s="1"/>
  <c r="L64" i="551"/>
  <c r="E46" i="412"/>
  <c r="E54" i="412"/>
  <c r="E79" i="412"/>
  <c r="S36" i="753"/>
  <c r="CH90" i="2"/>
  <c r="BD99" i="2"/>
  <c r="BD93" i="2"/>
  <c r="BD92" i="2"/>
  <c r="CG91" i="2"/>
  <c r="R190" i="753"/>
  <c r="R194" i="753"/>
  <c r="R188" i="753"/>
  <c r="G13" i="412"/>
  <c r="G14" i="412"/>
  <c r="T97" i="551"/>
  <c r="T124" i="551" s="1"/>
  <c r="U32" i="551" s="1"/>
  <c r="U97" i="551" s="1"/>
  <c r="U124" i="551" s="1"/>
  <c r="V32" i="551" s="1"/>
  <c r="V97" i="551" s="1"/>
  <c r="BJ101" i="2"/>
  <c r="T100" i="551"/>
  <c r="T127" i="551" s="1"/>
  <c r="U35" i="551" s="1"/>
  <c r="E38" i="1"/>
  <c r="E39" i="1"/>
  <c r="BH100" i="2"/>
  <c r="CI9" i="2"/>
  <c r="AL105" i="2"/>
  <c r="BX464" i="2"/>
  <c r="BY464" i="2"/>
  <c r="AZ104" i="2"/>
  <c r="CF98" i="2"/>
  <c r="T71" i="551"/>
  <c r="R99" i="562"/>
  <c r="R126" i="562" s="1"/>
  <c r="S34" i="562" s="1"/>
  <c r="I57" i="565"/>
  <c r="I59" i="565" s="1"/>
  <c r="I53" i="565"/>
  <c r="I54" i="565"/>
  <c r="G44" i="412"/>
  <c r="G32" i="412"/>
  <c r="G37" i="412"/>
  <c r="G31" i="412"/>
  <c r="G69" i="412"/>
  <c r="G78" i="412"/>
  <c r="E59" i="411"/>
  <c r="V127" i="562"/>
  <c r="W35" i="562" s="1"/>
  <c r="W100" i="562" s="1"/>
  <c r="W73" i="562"/>
  <c r="V105" i="2"/>
  <c r="BH92" i="2"/>
  <c r="L91" i="551"/>
  <c r="D69" i="412"/>
  <c r="D32" i="412"/>
  <c r="D44" i="412"/>
  <c r="D78" i="412"/>
  <c r="D37" i="412"/>
  <c r="D39" i="412" s="1"/>
  <c r="I25" i="1"/>
  <c r="I27" i="1"/>
  <c r="I26" i="1"/>
  <c r="S33" i="551"/>
  <c r="CE460" i="2"/>
  <c r="S69" i="412"/>
  <c r="E39" i="412"/>
  <c r="AE51" i="815"/>
  <c r="AE44" i="815"/>
  <c r="AM42" i="815"/>
  <c r="BN52" i="2"/>
  <c r="BN26" i="2"/>
  <c r="P94" i="565"/>
  <c r="P121" i="565" s="1"/>
  <c r="Q29" i="565" s="1"/>
  <c r="V73" i="551"/>
  <c r="X101" i="2"/>
  <c r="CG78" i="2"/>
  <c r="CG77" i="2"/>
  <c r="E13" i="411"/>
  <c r="AN92" i="2"/>
  <c r="D44" i="411"/>
  <c r="E45" i="411" s="1"/>
  <c r="D32" i="411"/>
  <c r="D69" i="411"/>
  <c r="D78" i="411"/>
  <c r="D37" i="411"/>
  <c r="D39" i="411" s="1"/>
  <c r="R179" i="753"/>
  <c r="R203" i="753"/>
  <c r="W86" i="2"/>
  <c r="AA86" i="2"/>
  <c r="J91" i="562"/>
  <c r="J118" i="562" s="1"/>
  <c r="K26" i="562" s="1"/>
  <c r="Q70" i="565"/>
  <c r="E46" i="1"/>
  <c r="E54" i="1"/>
  <c r="E45" i="1"/>
  <c r="E79" i="1"/>
  <c r="T72" i="562"/>
  <c r="CC77" i="2"/>
  <c r="BX189" i="2"/>
  <c r="BY189" i="2"/>
  <c r="CC93" i="2"/>
  <c r="CC92" i="2"/>
  <c r="I25" i="411"/>
  <c r="I27" i="411"/>
  <c r="I26" i="411"/>
  <c r="CH129" i="2"/>
  <c r="CH134" i="2"/>
  <c r="CH138" i="2"/>
  <c r="J42" i="686"/>
  <c r="R32" i="562"/>
  <c r="R97" i="562" s="1"/>
  <c r="R124" i="562" s="1"/>
  <c r="S32" i="562" s="1"/>
  <c r="S97" i="562" s="1"/>
  <c r="AJ104" i="2"/>
  <c r="CB98" i="2"/>
  <c r="S98" i="565"/>
  <c r="S125" i="565" s="1"/>
  <c r="T33" i="565" s="1"/>
  <c r="R98" i="565"/>
  <c r="R125" i="565" s="1"/>
  <c r="S33" i="565" s="1"/>
  <c r="U74" i="551"/>
  <c r="R93" i="562"/>
  <c r="R120" i="562" s="1"/>
  <c r="S28" i="562" s="1"/>
  <c r="E31" i="1"/>
  <c r="X119" i="686"/>
  <c r="K119" i="686"/>
  <c r="J120" i="686"/>
  <c r="N119" i="565"/>
  <c r="O27" i="565" s="1"/>
  <c r="O65" i="565"/>
  <c r="AQ101" i="2"/>
  <c r="T67" i="565"/>
  <c r="P93" i="562"/>
  <c r="P120" i="562" s="1"/>
  <c r="Q28" i="562" s="1"/>
  <c r="Q93" i="562" s="1"/>
  <c r="Q120" i="562" s="1"/>
  <c r="R28" i="562" s="1"/>
  <c r="R69" i="1"/>
  <c r="F39" i="412"/>
  <c r="F38" i="412"/>
  <c r="E54" i="411"/>
  <c r="E46" i="411"/>
  <c r="E79" i="411"/>
  <c r="CI38" i="2"/>
  <c r="CI179" i="2"/>
  <c r="CI44" i="2"/>
  <c r="CA105" i="2"/>
  <c r="I13" i="412"/>
  <c r="I14" i="412"/>
  <c r="W13" i="412"/>
  <c r="BD104" i="2"/>
  <c r="CG98" i="2"/>
  <c r="K90" i="565"/>
  <c r="E59" i="412"/>
  <c r="G57" i="551"/>
  <c r="G59" i="551" s="1"/>
  <c r="G53" i="551"/>
  <c r="G54" i="551"/>
  <c r="V73" i="565"/>
  <c r="U127" i="565"/>
  <c r="G59" i="412"/>
  <c r="G81" i="412"/>
  <c r="Z83" i="412" s="1"/>
  <c r="G82" i="412"/>
  <c r="T71" i="565"/>
  <c r="P123" i="565"/>
  <c r="Q31" i="565" s="1"/>
  <c r="Q69" i="565"/>
  <c r="T36" i="551"/>
  <c r="H13" i="411"/>
  <c r="H14" i="411"/>
  <c r="H27" i="1"/>
  <c r="H26" i="1"/>
  <c r="H25" i="1"/>
  <c r="W128" i="565"/>
  <c r="X74" i="565"/>
  <c r="BX78" i="2"/>
  <c r="BX77" i="2"/>
  <c r="BY77" i="2"/>
  <c r="CG83" i="2"/>
  <c r="CG85" i="2" s="1"/>
  <c r="CG86" i="2" s="1"/>
  <c r="CC99" i="2"/>
  <c r="CC100" i="2" s="1"/>
  <c r="AN100" i="2"/>
  <c r="J91" i="565"/>
  <c r="J118" i="565" s="1"/>
  <c r="K26" i="565" s="1"/>
  <c r="O94" i="551"/>
  <c r="O121" i="551" s="1"/>
  <c r="P29" i="551" s="1"/>
  <c r="O95" i="565"/>
  <c r="J89" i="565"/>
  <c r="J116" i="565" s="1"/>
  <c r="K24" i="565" s="1"/>
  <c r="N62" i="686"/>
  <c r="AP101" i="2"/>
  <c r="H89" i="551"/>
  <c r="H116" i="551" s="1"/>
  <c r="I24" i="551" s="1"/>
  <c r="F125" i="686"/>
  <c r="G125" i="686"/>
  <c r="O122" i="565"/>
  <c r="P30" i="565" s="1"/>
  <c r="P68" i="565"/>
  <c r="BB105" i="2"/>
  <c r="M65" i="551"/>
  <c r="H27" i="411"/>
  <c r="H26" i="411"/>
  <c r="H25" i="411"/>
  <c r="AF99" i="2"/>
  <c r="AF100" i="2" s="1"/>
  <c r="AF101" i="2" s="1"/>
  <c r="H13" i="1"/>
  <c r="H14" i="1"/>
  <c r="N122" i="551"/>
  <c r="O68" i="551"/>
  <c r="BD86" i="2"/>
  <c r="AP105" i="2"/>
  <c r="K49" i="565" l="1"/>
  <c r="K89" i="565"/>
  <c r="K91" i="562"/>
  <c r="K91" i="565"/>
  <c r="P94" i="551"/>
  <c r="N93" i="551"/>
  <c r="K90" i="562"/>
  <c r="K117" i="562" s="1"/>
  <c r="L25" i="562" s="1"/>
  <c r="W101" i="562"/>
  <c r="AJ105" i="2"/>
  <c r="CB105" i="2" s="1"/>
  <c r="CB104" i="2"/>
  <c r="AP86" i="2"/>
  <c r="AT86" i="2"/>
  <c r="V74" i="551"/>
  <c r="CH22" i="2"/>
  <c r="CH23" i="2"/>
  <c r="U101" i="551"/>
  <c r="U128" i="551" s="1"/>
  <c r="V36" i="551" s="1"/>
  <c r="T101" i="551"/>
  <c r="T128" i="551" s="1"/>
  <c r="U36" i="551" s="1"/>
  <c r="CI180" i="2"/>
  <c r="CI175" i="2"/>
  <c r="CI176" i="2" s="1"/>
  <c r="X42" i="686"/>
  <c r="J30" i="686"/>
  <c r="J44" i="686"/>
  <c r="J82" i="686"/>
  <c r="T99" i="562"/>
  <c r="T126" i="562" s="1"/>
  <c r="U34" i="562" s="1"/>
  <c r="J41" i="412"/>
  <c r="J41" i="411"/>
  <c r="J41" i="1"/>
  <c r="CH95" i="2"/>
  <c r="K116" i="565"/>
  <c r="L24" i="565" s="1"/>
  <c r="L62" i="565"/>
  <c r="T68" i="562"/>
  <c r="S179" i="753"/>
  <c r="S203" i="753"/>
  <c r="Q123" i="565"/>
  <c r="R31" i="565" s="1"/>
  <c r="R96" i="565" s="1"/>
  <c r="R69" i="565"/>
  <c r="U72" i="562"/>
  <c r="S32" i="753"/>
  <c r="AB36" i="753"/>
  <c r="E38" i="411"/>
  <c r="BX86" i="2"/>
  <c r="BY86" i="2"/>
  <c r="J9" i="412"/>
  <c r="L92" i="551"/>
  <c r="L119" i="551" s="1"/>
  <c r="M27" i="551" s="1"/>
  <c r="E62" i="411"/>
  <c r="E62" i="412"/>
  <c r="E63" i="412" s="1"/>
  <c r="E62" i="1"/>
  <c r="CH143" i="2"/>
  <c r="J32" i="686"/>
  <c r="J72" i="686" s="1"/>
  <c r="J112" i="686" s="1"/>
  <c r="AE47" i="815"/>
  <c r="AE50" i="815"/>
  <c r="AM50" i="815" s="1"/>
  <c r="AE46" i="815"/>
  <c r="AE45" i="815"/>
  <c r="AM44" i="815"/>
  <c r="BX105" i="2"/>
  <c r="F55" i="412"/>
  <c r="F80" i="412"/>
  <c r="AA80" i="412" s="1"/>
  <c r="BN158" i="2"/>
  <c r="BM157" i="2"/>
  <c r="BM134" i="2" s="1"/>
  <c r="BM143" i="2" s="1"/>
  <c r="P96" i="551"/>
  <c r="P123" i="551" s="1"/>
  <c r="Q31" i="551" s="1"/>
  <c r="CG464" i="2"/>
  <c r="BM81" i="2"/>
  <c r="BM55" i="2"/>
  <c r="BM54" i="2"/>
  <c r="BM53" i="2"/>
  <c r="BM47" i="2"/>
  <c r="U71" i="562"/>
  <c r="I38" i="1"/>
  <c r="I39" i="1"/>
  <c r="W38" i="1"/>
  <c r="G46" i="411"/>
  <c r="G54" i="411"/>
  <c r="G45" i="411"/>
  <c r="G79" i="411"/>
  <c r="R40" i="753"/>
  <c r="R33" i="753"/>
  <c r="R35" i="753"/>
  <c r="J10" i="412"/>
  <c r="J10" i="411"/>
  <c r="J10" i="1"/>
  <c r="AB175" i="753"/>
  <c r="AB207" i="753"/>
  <c r="AB189" i="753"/>
  <c r="O30" i="551"/>
  <c r="I49" i="551"/>
  <c r="AE52" i="815"/>
  <c r="AM51" i="815"/>
  <c r="AE54" i="815"/>
  <c r="AE15" i="815"/>
  <c r="AE20" i="815"/>
  <c r="W127" i="562"/>
  <c r="X35" i="562" s="1"/>
  <c r="X100" i="562" s="1"/>
  <c r="X73" i="562"/>
  <c r="E80" i="412"/>
  <c r="Z80" i="412" s="1"/>
  <c r="BM23" i="2"/>
  <c r="BM22" i="2"/>
  <c r="F55" i="1"/>
  <c r="F80" i="1"/>
  <c r="AA80" i="1" s="1"/>
  <c r="BO52" i="2"/>
  <c r="BO26" i="2"/>
  <c r="V124" i="551"/>
  <c r="W32" i="551" s="1"/>
  <c r="W97" i="551" s="1"/>
  <c r="W70" i="551"/>
  <c r="L64" i="562"/>
  <c r="K118" i="562"/>
  <c r="U99" i="551"/>
  <c r="U126" i="551" s="1"/>
  <c r="V34" i="551" s="1"/>
  <c r="L63" i="562"/>
  <c r="Q96" i="565"/>
  <c r="BN53" i="2"/>
  <c r="BN81" i="2"/>
  <c r="BN55" i="2"/>
  <c r="BN54" i="2"/>
  <c r="BN47" i="2"/>
  <c r="U71" i="565"/>
  <c r="P65" i="565"/>
  <c r="O119" i="565"/>
  <c r="P27" i="565" s="1"/>
  <c r="E80" i="411"/>
  <c r="Z80" i="411" s="1"/>
  <c r="E63" i="411"/>
  <c r="T98" i="565"/>
  <c r="T125" i="565" s="1"/>
  <c r="U33" i="565" s="1"/>
  <c r="O92" i="565"/>
  <c r="M92" i="551"/>
  <c r="N92" i="551"/>
  <c r="K63" i="551"/>
  <c r="S98" i="562"/>
  <c r="S125" i="562" s="1"/>
  <c r="T33" i="562" s="1"/>
  <c r="T98" i="562" s="1"/>
  <c r="T125" i="562" s="1"/>
  <c r="U33" i="562" s="1"/>
  <c r="U98" i="562" s="1"/>
  <c r="I89" i="562"/>
  <c r="I116" i="562" s="1"/>
  <c r="J24" i="562" s="1"/>
  <c r="P66" i="565"/>
  <c r="O120" i="565"/>
  <c r="P28" i="565" s="1"/>
  <c r="P93" i="565" s="1"/>
  <c r="CI95" i="2"/>
  <c r="K41" i="1"/>
  <c r="D46" i="412"/>
  <c r="D54" i="412"/>
  <c r="E55" i="412" s="1"/>
  <c r="D79" i="412"/>
  <c r="S99" i="562"/>
  <c r="S126" i="562" s="1"/>
  <c r="T34" i="562" s="1"/>
  <c r="E45" i="412"/>
  <c r="H46" i="1"/>
  <c r="H54" i="1"/>
  <c r="H45" i="1"/>
  <c r="H79" i="1"/>
  <c r="E38" i="412"/>
  <c r="L118" i="551"/>
  <c r="M26" i="551" s="1"/>
  <c r="M64" i="551"/>
  <c r="G54" i="1"/>
  <c r="G46" i="1"/>
  <c r="G45" i="1"/>
  <c r="G79" i="1"/>
  <c r="J25" i="551"/>
  <c r="BO21" i="2"/>
  <c r="CF93" i="2"/>
  <c r="CF92" i="2"/>
  <c r="P54" i="686"/>
  <c r="P62" i="686" s="1"/>
  <c r="Q60" i="686"/>
  <c r="T69" i="412"/>
  <c r="S93" i="562"/>
  <c r="W38" i="411"/>
  <c r="I38" i="411"/>
  <c r="I39" i="411"/>
  <c r="J62" i="562"/>
  <c r="K92" i="562"/>
  <c r="K119" i="562" s="1"/>
  <c r="L27" i="562" s="1"/>
  <c r="H38" i="1"/>
  <c r="H39" i="1"/>
  <c r="R69" i="551"/>
  <c r="Q95" i="562"/>
  <c r="Q122" i="562" s="1"/>
  <c r="R30" i="562" s="1"/>
  <c r="R95" i="562" s="1"/>
  <c r="R122" i="562" s="1"/>
  <c r="S30" i="562" s="1"/>
  <c r="P14" i="686"/>
  <c r="Q20" i="686"/>
  <c r="O55" i="686"/>
  <c r="O56" i="686"/>
  <c r="Y54" i="686"/>
  <c r="O96" i="562"/>
  <c r="O123" i="562" s="1"/>
  <c r="P31" i="562" s="1"/>
  <c r="H38" i="411"/>
  <c r="H39" i="411"/>
  <c r="CE104" i="2"/>
  <c r="AV105" i="2"/>
  <c r="CE105" i="2" s="1"/>
  <c r="CI25" i="2"/>
  <c r="AZ100" i="2"/>
  <c r="AZ101" i="2" s="1"/>
  <c r="CF99" i="2"/>
  <c r="CF100" i="2" s="1"/>
  <c r="Y14" i="686"/>
  <c r="O15" i="686"/>
  <c r="O16" i="686"/>
  <c r="CB99" i="2"/>
  <c r="CB100" i="2" s="1"/>
  <c r="CB101" i="2" s="1"/>
  <c r="AJ100" i="2"/>
  <c r="AJ101" i="2" s="1"/>
  <c r="P95" i="565"/>
  <c r="H45" i="412"/>
  <c r="H46" i="412"/>
  <c r="H54" i="412"/>
  <c r="H79" i="412"/>
  <c r="M119" i="551"/>
  <c r="N27" i="551" s="1"/>
  <c r="N65" i="551"/>
  <c r="W73" i="551"/>
  <c r="L64" i="565"/>
  <c r="K118" i="565"/>
  <c r="L26" i="565" s="1"/>
  <c r="G38" i="1"/>
  <c r="G39" i="1"/>
  <c r="O39" i="686"/>
  <c r="N43" i="686"/>
  <c r="E80" i="1"/>
  <c r="Z80" i="1" s="1"/>
  <c r="E63" i="1"/>
  <c r="CG92" i="2"/>
  <c r="CG93" i="2"/>
  <c r="T66" i="562"/>
  <c r="S120" i="562"/>
  <c r="T28" i="562" s="1"/>
  <c r="T93" i="562" s="1"/>
  <c r="BL81" i="2"/>
  <c r="BL55" i="2"/>
  <c r="BL54" i="2"/>
  <c r="BL53" i="2"/>
  <c r="BL47" i="2"/>
  <c r="CB93" i="2"/>
  <c r="CB92" i="2"/>
  <c r="R94" i="565"/>
  <c r="R121" i="565" s="1"/>
  <c r="S29" i="565" s="1"/>
  <c r="S94" i="565"/>
  <c r="S121" i="565" s="1"/>
  <c r="T29" i="565" s="1"/>
  <c r="T94" i="565" s="1"/>
  <c r="T121" i="565" s="1"/>
  <c r="U29" i="565" s="1"/>
  <c r="U94" i="565" s="1"/>
  <c r="T69" i="411"/>
  <c r="X128" i="565"/>
  <c r="Y36" i="565" s="1"/>
  <c r="Y101" i="565" s="1"/>
  <c r="Y74" i="565"/>
  <c r="S69" i="1"/>
  <c r="T72" i="565"/>
  <c r="CE93" i="2"/>
  <c r="CE92" i="2"/>
  <c r="V35" i="565"/>
  <c r="V100" i="565" s="1"/>
  <c r="V127" i="565" s="1"/>
  <c r="W35" i="565" s="1"/>
  <c r="W100" i="565" s="1"/>
  <c r="L90" i="565"/>
  <c r="P97" i="565"/>
  <c r="P124" i="565" s="1"/>
  <c r="Q32" i="565" s="1"/>
  <c r="I46" i="411"/>
  <c r="I54" i="411"/>
  <c r="I45" i="411"/>
  <c r="W45" i="411"/>
  <c r="I79" i="411"/>
  <c r="S34" i="565"/>
  <c r="K62" i="551"/>
  <c r="CD101" i="2"/>
  <c r="W128" i="562"/>
  <c r="X74" i="562"/>
  <c r="V72" i="551"/>
  <c r="CE464" i="2"/>
  <c r="S67" i="562"/>
  <c r="R121" i="562"/>
  <c r="S29" i="562" s="1"/>
  <c r="S94" i="562" s="1"/>
  <c r="L119" i="686"/>
  <c r="K123" i="686"/>
  <c r="CI10" i="2"/>
  <c r="CI12" i="2" s="1"/>
  <c r="CI21" i="2"/>
  <c r="K8" i="1"/>
  <c r="J57" i="565"/>
  <c r="J59" i="565" s="1"/>
  <c r="J53" i="565"/>
  <c r="J54" i="565"/>
  <c r="X36" i="565"/>
  <c r="X101" i="565" s="1"/>
  <c r="CG104" i="2"/>
  <c r="BD105" i="2"/>
  <c r="CG105" i="2" s="1"/>
  <c r="G39" i="412"/>
  <c r="G38" i="412"/>
  <c r="P122" i="565"/>
  <c r="Q68" i="565"/>
  <c r="W73" i="565"/>
  <c r="R70" i="565"/>
  <c r="G45" i="412"/>
  <c r="G46" i="412"/>
  <c r="G54" i="412"/>
  <c r="G79" i="412"/>
  <c r="U71" i="551"/>
  <c r="P96" i="562"/>
  <c r="P123" i="562" s="1"/>
  <c r="Q31" i="562" s="1"/>
  <c r="H46" i="411"/>
  <c r="H54" i="411"/>
  <c r="H45" i="411"/>
  <c r="H79" i="411"/>
  <c r="J9" i="1"/>
  <c r="P96" i="686"/>
  <c r="P100" i="686"/>
  <c r="Q94" i="686"/>
  <c r="CE99" i="2"/>
  <c r="CE100" i="2" s="1"/>
  <c r="CE101" i="2" s="1"/>
  <c r="AV100" i="2"/>
  <c r="AV101" i="2" s="1"/>
  <c r="H89" i="562"/>
  <c r="H116" i="562" s="1"/>
  <c r="I24" i="562" s="1"/>
  <c r="G54" i="562"/>
  <c r="G57" i="562"/>
  <c r="G59" i="562" s="1"/>
  <c r="G53" i="562"/>
  <c r="P68" i="551"/>
  <c r="U67" i="565"/>
  <c r="D54" i="411"/>
  <c r="D46" i="411"/>
  <c r="D79" i="411"/>
  <c r="S98" i="551"/>
  <c r="S125" i="551" s="1"/>
  <c r="T33" i="551" s="1"/>
  <c r="T98" i="551"/>
  <c r="T125" i="551" s="1"/>
  <c r="U33" i="551" s="1"/>
  <c r="CG99" i="2"/>
  <c r="CG100" i="2" s="1"/>
  <c r="CG101" i="2" s="1"/>
  <c r="BD100" i="2"/>
  <c r="BH101" i="2" s="1"/>
  <c r="M79" i="686"/>
  <c r="L83" i="686"/>
  <c r="F62" i="411"/>
  <c r="F62" i="412"/>
  <c r="F63" i="412" s="1"/>
  <c r="F62" i="1"/>
  <c r="F63" i="1" s="1"/>
  <c r="L117" i="565"/>
  <c r="M25" i="565" s="1"/>
  <c r="M90" i="565" s="1"/>
  <c r="M63" i="565"/>
  <c r="H39" i="412"/>
  <c r="H38" i="412"/>
  <c r="J9" i="411"/>
  <c r="S188" i="753"/>
  <c r="S190" i="753"/>
  <c r="S194" i="753"/>
  <c r="O101" i="686"/>
  <c r="O102" i="686"/>
  <c r="Y100" i="686"/>
  <c r="CC86" i="2"/>
  <c r="CD86" i="2"/>
  <c r="K30" i="686"/>
  <c r="K44" i="686"/>
  <c r="K45" i="686" s="1"/>
  <c r="S124" i="562"/>
  <c r="T32" i="562" s="1"/>
  <c r="T97" i="562" s="1"/>
  <c r="T70" i="562"/>
  <c r="I39" i="412"/>
  <c r="I38" i="412"/>
  <c r="W38" i="412"/>
  <c r="CF104" i="2"/>
  <c r="AZ105" i="2"/>
  <c r="CF105" i="2" s="1"/>
  <c r="J89" i="551"/>
  <c r="J116" i="551" s="1"/>
  <c r="K24" i="551" s="1"/>
  <c r="J62" i="412"/>
  <c r="J62" i="1"/>
  <c r="J62" i="411"/>
  <c r="N120" i="551"/>
  <c r="O28" i="551" s="1"/>
  <c r="O66" i="551"/>
  <c r="AJ86" i="2"/>
  <c r="AN86" i="2"/>
  <c r="P121" i="551"/>
  <c r="Q29" i="551" s="1"/>
  <c r="Q94" i="551" s="1"/>
  <c r="Q67" i="551"/>
  <c r="M65" i="562"/>
  <c r="AB160" i="753"/>
  <c r="AB168" i="753"/>
  <c r="AB162" i="753"/>
  <c r="AB204" i="753"/>
  <c r="AB210" i="753"/>
  <c r="AB212" i="753" s="1"/>
  <c r="AB213" i="753" s="1"/>
  <c r="Q69" i="562"/>
  <c r="BX101" i="2"/>
  <c r="BY101" i="2"/>
  <c r="H49" i="562"/>
  <c r="BK81" i="2"/>
  <c r="BO66" i="2"/>
  <c r="BK55" i="2"/>
  <c r="BK54" i="2"/>
  <c r="BO59" i="2"/>
  <c r="BK53" i="2"/>
  <c r="CH52" i="2"/>
  <c r="BK47" i="2"/>
  <c r="BL134" i="2"/>
  <c r="BL143" i="2" s="1"/>
  <c r="F55" i="411"/>
  <c r="F80" i="411"/>
  <c r="AA80" i="411" s="1"/>
  <c r="F63" i="411"/>
  <c r="AC152" i="753"/>
  <c r="AC155" i="753" s="1"/>
  <c r="AB154" i="753"/>
  <c r="CC105" i="2"/>
  <c r="AF105" i="2"/>
  <c r="D54" i="1"/>
  <c r="D46" i="1"/>
  <c r="D79" i="1"/>
  <c r="CH27" i="2"/>
  <c r="CH26" i="2"/>
  <c r="I45" i="1"/>
  <c r="I46" i="1"/>
  <c r="I54" i="1"/>
  <c r="I79" i="1"/>
  <c r="W45" i="1"/>
  <c r="G38" i="411"/>
  <c r="G39" i="411"/>
  <c r="I45" i="412"/>
  <c r="I54" i="412"/>
  <c r="I46" i="412"/>
  <c r="W45" i="412"/>
  <c r="I79" i="412"/>
  <c r="U100" i="551"/>
  <c r="U127" i="551" s="1"/>
  <c r="V35" i="551" s="1"/>
  <c r="K49" i="551" l="1"/>
  <c r="K89" i="551"/>
  <c r="K116" i="551" s="1"/>
  <c r="L24" i="551" s="1"/>
  <c r="V101" i="551"/>
  <c r="V99" i="551"/>
  <c r="Q96" i="562"/>
  <c r="J49" i="562"/>
  <c r="U99" i="562"/>
  <c r="L90" i="562"/>
  <c r="U98" i="565"/>
  <c r="X36" i="562"/>
  <c r="X101" i="562" s="1"/>
  <c r="X128" i="562" s="1"/>
  <c r="Y36" i="562" s="1"/>
  <c r="Y101" i="562" s="1"/>
  <c r="O65" i="551"/>
  <c r="N119" i="551"/>
  <c r="O27" i="551" s="1"/>
  <c r="W127" i="565"/>
  <c r="X35" i="565" s="1"/>
  <c r="X100" i="565" s="1"/>
  <c r="X73" i="565"/>
  <c r="X70" i="551"/>
  <c r="W124" i="551"/>
  <c r="X32" i="551" s="1"/>
  <c r="X97" i="551" s="1"/>
  <c r="L62" i="551"/>
  <c r="L92" i="562"/>
  <c r="L119" i="562" s="1"/>
  <c r="M27" i="562" s="1"/>
  <c r="G80" i="1"/>
  <c r="AB80" i="1" s="1"/>
  <c r="G55" i="1"/>
  <c r="L63" i="551"/>
  <c r="BN188" i="2"/>
  <c r="BN50" i="2"/>
  <c r="BN49" i="2"/>
  <c r="BN48" i="2"/>
  <c r="V72" i="562"/>
  <c r="U126" i="562"/>
  <c r="R17" i="562"/>
  <c r="J42" i="411"/>
  <c r="W74" i="551"/>
  <c r="V128" i="551"/>
  <c r="W36" i="551" s="1"/>
  <c r="AB203" i="753"/>
  <c r="AB179" i="753"/>
  <c r="D80" i="1"/>
  <c r="Y80" i="1" s="1"/>
  <c r="N65" i="562"/>
  <c r="Q68" i="551"/>
  <c r="CI22" i="2"/>
  <c r="CI23" i="2"/>
  <c r="CI27" i="2"/>
  <c r="CI26" i="2"/>
  <c r="AB194" i="753"/>
  <c r="AB190" i="753"/>
  <c r="AB188" i="753"/>
  <c r="I55" i="412"/>
  <c r="I80" i="412"/>
  <c r="AD80" i="412" s="1"/>
  <c r="W55" i="412"/>
  <c r="BK82" i="2"/>
  <c r="BK83" i="2" s="1"/>
  <c r="CH81" i="2"/>
  <c r="R67" i="551"/>
  <c r="Q121" i="551"/>
  <c r="R29" i="551" s="1"/>
  <c r="R94" i="551" s="1"/>
  <c r="T124" i="562"/>
  <c r="U32" i="562" s="1"/>
  <c r="U97" i="562" s="1"/>
  <c r="U70" i="562"/>
  <c r="H55" i="411"/>
  <c r="H80" i="411"/>
  <c r="AC80" i="411" s="1"/>
  <c r="H63" i="411"/>
  <c r="H55" i="412"/>
  <c r="H80" i="412"/>
  <c r="AC80" i="412" s="1"/>
  <c r="H63" i="412"/>
  <c r="X127" i="562"/>
  <c r="Y35" i="562" s="1"/>
  <c r="Y100" i="562" s="1"/>
  <c r="Y73" i="562"/>
  <c r="U125" i="562"/>
  <c r="V33" i="562" s="1"/>
  <c r="V98" i="562" s="1"/>
  <c r="V71" i="562"/>
  <c r="R17" i="565"/>
  <c r="J42" i="412"/>
  <c r="O93" i="551"/>
  <c r="H62" i="412"/>
  <c r="H62" i="411"/>
  <c r="H62" i="1"/>
  <c r="J90" i="551"/>
  <c r="J117" i="551" s="1"/>
  <c r="K25" i="551" s="1"/>
  <c r="K90" i="551"/>
  <c r="K117" i="551" s="1"/>
  <c r="L25" i="551" s="1"/>
  <c r="S96" i="551"/>
  <c r="AM45" i="815"/>
  <c r="AM47" i="815"/>
  <c r="R123" i="565"/>
  <c r="S31" i="565" s="1"/>
  <c r="S96" i="565" s="1"/>
  <c r="S69" i="565"/>
  <c r="M119" i="686"/>
  <c r="L123" i="686"/>
  <c r="N64" i="551"/>
  <c r="I49" i="562"/>
  <c r="BO54" i="2"/>
  <c r="BO55" i="2"/>
  <c r="BO53" i="2"/>
  <c r="BO81" i="2"/>
  <c r="BO47" i="2"/>
  <c r="K34" i="686"/>
  <c r="K35" i="686"/>
  <c r="K31" i="686"/>
  <c r="K33" i="686"/>
  <c r="L33" i="686" s="1"/>
  <c r="BM49" i="2"/>
  <c r="BM50" i="2"/>
  <c r="BM188" i="2"/>
  <c r="BM48" i="2"/>
  <c r="J49" i="551"/>
  <c r="H57" i="562"/>
  <c r="H59" i="562" s="1"/>
  <c r="H54" i="562"/>
  <c r="H53" i="562"/>
  <c r="O120" i="551"/>
  <c r="P28" i="551" s="1"/>
  <c r="P66" i="551"/>
  <c r="U98" i="551"/>
  <c r="U125" i="551" s="1"/>
  <c r="V33" i="551" s="1"/>
  <c r="V98" i="551" s="1"/>
  <c r="T69" i="1"/>
  <c r="BL188" i="2"/>
  <c r="BL48" i="2"/>
  <c r="CI47" i="2"/>
  <c r="BL50" i="2"/>
  <c r="BL49" i="2"/>
  <c r="AC36" i="753"/>
  <c r="S17" i="551"/>
  <c r="K42" i="1"/>
  <c r="AN101" i="2"/>
  <c r="V100" i="551"/>
  <c r="V127" i="551" s="1"/>
  <c r="W35" i="551" s="1"/>
  <c r="W100" i="551" s="1"/>
  <c r="G62" i="411"/>
  <c r="G62" i="412"/>
  <c r="G62" i="1"/>
  <c r="G63" i="1" s="1"/>
  <c r="AC147" i="753"/>
  <c r="AC148" i="753" s="1"/>
  <c r="AC149" i="753" s="1"/>
  <c r="AD152" i="753"/>
  <c r="AD155" i="753" s="1"/>
  <c r="AD147" i="753" s="1"/>
  <c r="AD148" i="753" s="1"/>
  <c r="AD149" i="753" s="1"/>
  <c r="I55" i="411"/>
  <c r="W55" i="411"/>
  <c r="I80" i="411"/>
  <c r="AD80" i="411" s="1"/>
  <c r="R97" i="565"/>
  <c r="AM52" i="815"/>
  <c r="AM20" i="815"/>
  <c r="AM15" i="815"/>
  <c r="Q96" i="551"/>
  <c r="Q123" i="551" s="1"/>
  <c r="R31" i="551" s="1"/>
  <c r="Y74" i="562"/>
  <c r="W127" i="551"/>
  <c r="X35" i="551" s="1"/>
  <c r="X100" i="551" s="1"/>
  <c r="X73" i="551"/>
  <c r="AC165" i="753"/>
  <c r="AC168" i="753" s="1"/>
  <c r="AB167" i="753"/>
  <c r="AB174" i="753"/>
  <c r="AB171" i="753"/>
  <c r="Q30" i="565"/>
  <c r="E55" i="1"/>
  <c r="L91" i="565"/>
  <c r="L118" i="565" s="1"/>
  <c r="M26" i="565" s="1"/>
  <c r="BM83" i="2"/>
  <c r="BM85" i="2" s="1"/>
  <c r="BM86" i="2" s="1"/>
  <c r="BM82" i="2"/>
  <c r="BM98" i="2" s="1"/>
  <c r="R96" i="551"/>
  <c r="U68" i="562"/>
  <c r="N63" i="565"/>
  <c r="M117" i="565"/>
  <c r="N25" i="565" s="1"/>
  <c r="N90" i="565" s="1"/>
  <c r="S121" i="562"/>
  <c r="T29" i="562" s="1"/>
  <c r="T94" i="562" s="1"/>
  <c r="T67" i="562"/>
  <c r="I80" i="1"/>
  <c r="AD80" i="1" s="1"/>
  <c r="I55" i="1"/>
  <c r="W55" i="1"/>
  <c r="I63" i="1"/>
  <c r="V71" i="551"/>
  <c r="Y128" i="565"/>
  <c r="Z36" i="565" s="1"/>
  <c r="Z101" i="565" s="1"/>
  <c r="Z74" i="565"/>
  <c r="U69" i="411"/>
  <c r="P16" i="686"/>
  <c r="P15" i="686"/>
  <c r="J122" i="686"/>
  <c r="X82" i="686"/>
  <c r="J84" i="686"/>
  <c r="J70" i="686"/>
  <c r="K9" i="1"/>
  <c r="Q54" i="686"/>
  <c r="R60" i="686"/>
  <c r="P55" i="686"/>
  <c r="P56" i="686"/>
  <c r="Y39" i="686"/>
  <c r="P39" i="686"/>
  <c r="O43" i="686"/>
  <c r="Y43" i="686" s="1"/>
  <c r="M92" i="562"/>
  <c r="M119" i="562" s="1"/>
  <c r="N27" i="562" s="1"/>
  <c r="Q96" i="686"/>
  <c r="R94" i="686"/>
  <c r="Q100" i="686"/>
  <c r="R20" i="686"/>
  <c r="Q14" i="686"/>
  <c r="P120" i="565"/>
  <c r="Q28" i="565" s="1"/>
  <c r="Q93" i="565" s="1"/>
  <c r="Q66" i="565"/>
  <c r="P101" i="686"/>
  <c r="P102" i="686"/>
  <c r="D80" i="411"/>
  <c r="Y80" i="411" s="1"/>
  <c r="G55" i="412"/>
  <c r="G80" i="412"/>
  <c r="AB80" i="412" s="1"/>
  <c r="G63" i="412"/>
  <c r="V126" i="551"/>
  <c r="W34" i="551" s="1"/>
  <c r="W99" i="551" s="1"/>
  <c r="W72" i="551"/>
  <c r="Q97" i="565"/>
  <c r="Q124" i="565" s="1"/>
  <c r="R32" i="565" s="1"/>
  <c r="BL82" i="2"/>
  <c r="BL83" i="2"/>
  <c r="CI81" i="2"/>
  <c r="P22" i="686"/>
  <c r="CC101" i="2"/>
  <c r="L116" i="565"/>
  <c r="M24" i="565" s="1"/>
  <c r="M62" i="565"/>
  <c r="J45" i="686"/>
  <c r="X44" i="686"/>
  <c r="G55" i="411"/>
  <c r="G80" i="411"/>
  <c r="AB80" i="411" s="1"/>
  <c r="G63" i="411"/>
  <c r="S70" i="565"/>
  <c r="R124" i="565"/>
  <c r="S32" i="565" s="1"/>
  <c r="R68" i="565"/>
  <c r="T99" i="565"/>
  <c r="T126" i="565" s="1"/>
  <c r="U34" i="565" s="1"/>
  <c r="S99" i="565"/>
  <c r="S126" i="565" s="1"/>
  <c r="T34" i="565" s="1"/>
  <c r="U72" i="565"/>
  <c r="D80" i="412"/>
  <c r="Y80" i="412" s="1"/>
  <c r="D63" i="412"/>
  <c r="M91" i="551"/>
  <c r="M118" i="551" s="1"/>
  <c r="N26" i="551" s="1"/>
  <c r="BN83" i="2"/>
  <c r="BN85" i="2" s="1"/>
  <c r="BN86" i="2" s="1"/>
  <c r="BN82" i="2"/>
  <c r="BN98" i="2" s="1"/>
  <c r="J89" i="562"/>
  <c r="K62" i="562"/>
  <c r="J116" i="562"/>
  <c r="K24" i="562" s="1"/>
  <c r="K49" i="562" s="1"/>
  <c r="I62" i="412"/>
  <c r="I63" i="412" s="1"/>
  <c r="I62" i="411"/>
  <c r="I63" i="411" s="1"/>
  <c r="I62" i="1"/>
  <c r="Q123" i="562"/>
  <c r="R69" i="562"/>
  <c r="BK49" i="2"/>
  <c r="BK188" i="2"/>
  <c r="BK50" i="2"/>
  <c r="BK48" i="2"/>
  <c r="CH47" i="2"/>
  <c r="CH53" i="2"/>
  <c r="CH55" i="2"/>
  <c r="J16" i="412"/>
  <c r="CH54" i="2"/>
  <c r="CI59" i="2"/>
  <c r="J16" i="411"/>
  <c r="J16" i="1"/>
  <c r="CI66" i="2"/>
  <c r="CJ54" i="2"/>
  <c r="CJ55" i="2" s="1"/>
  <c r="N79" i="686"/>
  <c r="M83" i="686"/>
  <c r="CI52" i="2"/>
  <c r="M64" i="565"/>
  <c r="BO22" i="2"/>
  <c r="BO23" i="2"/>
  <c r="H80" i="1"/>
  <c r="AC80" i="1" s="1"/>
  <c r="H55" i="1"/>
  <c r="H63" i="1"/>
  <c r="E55" i="411"/>
  <c r="L117" i="562"/>
  <c r="M25" i="562" s="1"/>
  <c r="M90" i="562" s="1"/>
  <c r="M63" i="562"/>
  <c r="BO158" i="2"/>
  <c r="BO157" i="2" s="1"/>
  <c r="BO134" i="2" s="1"/>
  <c r="BO143" i="2" s="1"/>
  <c r="BN157" i="2"/>
  <c r="L49" i="565"/>
  <c r="L89" i="565"/>
  <c r="X30" i="686"/>
  <c r="J34" i="686"/>
  <c r="J35" i="686"/>
  <c r="J31" i="686"/>
  <c r="J33" i="686"/>
  <c r="T120" i="562"/>
  <c r="U28" i="562" s="1"/>
  <c r="U93" i="562" s="1"/>
  <c r="U66" i="562"/>
  <c r="CF101" i="2"/>
  <c r="S95" i="562"/>
  <c r="S122" i="562" s="1"/>
  <c r="T30" i="562" s="1"/>
  <c r="T95" i="562" s="1"/>
  <c r="T122" i="562" s="1"/>
  <c r="U30" i="562" s="1"/>
  <c r="U95" i="562" s="1"/>
  <c r="Q65" i="565"/>
  <c r="L26" i="562"/>
  <c r="I57" i="551"/>
  <c r="I59" i="551" s="1"/>
  <c r="I54" i="551"/>
  <c r="I53" i="551"/>
  <c r="R123" i="551"/>
  <c r="S31" i="551" s="1"/>
  <c r="S69" i="551"/>
  <c r="U69" i="412"/>
  <c r="V71" i="565"/>
  <c r="U125" i="565"/>
  <c r="V33" i="565" s="1"/>
  <c r="V98" i="565" s="1"/>
  <c r="M64" i="562"/>
  <c r="O95" i="551"/>
  <c r="O122" i="551" s="1"/>
  <c r="P30" i="551" s="1"/>
  <c r="P92" i="565"/>
  <c r="P119" i="565" s="1"/>
  <c r="Q27" i="565" s="1"/>
  <c r="Q92" i="565" s="1"/>
  <c r="S39" i="753"/>
  <c r="S25" i="753"/>
  <c r="S27" i="753" s="1"/>
  <c r="AB32" i="753"/>
  <c r="K57" i="565"/>
  <c r="K59" i="565" s="1"/>
  <c r="K53" i="565"/>
  <c r="K54" i="565"/>
  <c r="BD101" i="2"/>
  <c r="U121" i="565"/>
  <c r="V29" i="565" s="1"/>
  <c r="V94" i="565" s="1"/>
  <c r="V67" i="565"/>
  <c r="R17" i="551"/>
  <c r="J42" i="1"/>
  <c r="D62" i="411"/>
  <c r="D63" i="411" s="1"/>
  <c r="D62" i="412"/>
  <c r="D62" i="1"/>
  <c r="D63" i="1" s="1"/>
  <c r="U99" i="565" l="1"/>
  <c r="L49" i="551"/>
  <c r="L89" i="551"/>
  <c r="L116" i="551" s="1"/>
  <c r="M24" i="551" s="1"/>
  <c r="BK85" i="2"/>
  <c r="BK86" i="2" s="1"/>
  <c r="CH83" i="2"/>
  <c r="CH85" i="2" s="1"/>
  <c r="CH86" i="2" s="1"/>
  <c r="N91" i="551"/>
  <c r="L90" i="551"/>
  <c r="M91" i="565"/>
  <c r="M118" i="565" s="1"/>
  <c r="N26" i="565" s="1"/>
  <c r="N91" i="565" s="1"/>
  <c r="S68" i="565"/>
  <c r="CI54" i="2"/>
  <c r="CI55" i="2"/>
  <c r="CJ49" i="2"/>
  <c r="CI53" i="2"/>
  <c r="K16" i="1"/>
  <c r="R19" i="551"/>
  <c r="R156" i="551"/>
  <c r="N119" i="686"/>
  <c r="M123" i="686"/>
  <c r="J17" i="1"/>
  <c r="J19" i="1"/>
  <c r="J51" i="1"/>
  <c r="J20" i="1"/>
  <c r="J24" i="1"/>
  <c r="J58" i="1"/>
  <c r="J12" i="1"/>
  <c r="W71" i="551"/>
  <c r="V125" i="551"/>
  <c r="W33" i="551" s="1"/>
  <c r="W98" i="551" s="1"/>
  <c r="N92" i="562"/>
  <c r="P65" i="551"/>
  <c r="J73" i="686"/>
  <c r="K73" i="686" s="1"/>
  <c r="J71" i="686"/>
  <c r="X70" i="686"/>
  <c r="J74" i="686"/>
  <c r="J75" i="686"/>
  <c r="N118" i="551"/>
  <c r="O26" i="551" s="1"/>
  <c r="O91" i="551" s="1"/>
  <c r="O64" i="551"/>
  <c r="W67" i="565"/>
  <c r="V121" i="565"/>
  <c r="W29" i="565" s="1"/>
  <c r="W94" i="565" s="1"/>
  <c r="U120" i="562"/>
  <c r="V28" i="562" s="1"/>
  <c r="V93" i="562" s="1"/>
  <c r="V66" i="562"/>
  <c r="W101" i="551"/>
  <c r="W128" i="551" s="1"/>
  <c r="X36" i="551" s="1"/>
  <c r="X101" i="551" s="1"/>
  <c r="J57" i="551"/>
  <c r="J59" i="551" s="1"/>
  <c r="J53" i="551"/>
  <c r="J54" i="551"/>
  <c r="BO50" i="2"/>
  <c r="BO188" i="2"/>
  <c r="BO49" i="2"/>
  <c r="BO48" i="2"/>
  <c r="BN189" i="2"/>
  <c r="BN190" i="2"/>
  <c r="L53" i="565"/>
  <c r="L57" i="565"/>
  <c r="L59" i="565" s="1"/>
  <c r="L54" i="565"/>
  <c r="BN134" i="2"/>
  <c r="BN143" i="2" s="1"/>
  <c r="CI157" i="2"/>
  <c r="S69" i="562"/>
  <c r="U122" i="562"/>
  <c r="V30" i="562" s="1"/>
  <c r="V95" i="562" s="1"/>
  <c r="V68" i="562"/>
  <c r="BO82" i="2"/>
  <c r="BO98" i="2" s="1"/>
  <c r="M63" i="551"/>
  <c r="L117" i="551"/>
  <c r="M25" i="551" s="1"/>
  <c r="M90" i="551" s="1"/>
  <c r="J54" i="562"/>
  <c r="J53" i="562"/>
  <c r="J57" i="562"/>
  <c r="J59" i="562" s="1"/>
  <c r="J17" i="411"/>
  <c r="J18" i="411" s="1"/>
  <c r="J51" i="411"/>
  <c r="J19" i="411"/>
  <c r="J20" i="411"/>
  <c r="J58" i="411"/>
  <c r="J24" i="411"/>
  <c r="J12" i="411"/>
  <c r="P95" i="551"/>
  <c r="P122" i="551" s="1"/>
  <c r="Q30" i="551" s="1"/>
  <c r="R95" i="551" s="1"/>
  <c r="P93" i="551"/>
  <c r="R66" i="565"/>
  <c r="Q120" i="565"/>
  <c r="R28" i="565" s="1"/>
  <c r="R93" i="565" s="1"/>
  <c r="S123" i="565"/>
  <c r="T31" i="565" s="1"/>
  <c r="T96" i="565" s="1"/>
  <c r="T69" i="565"/>
  <c r="CI188" i="2"/>
  <c r="CI189" i="2" s="1"/>
  <c r="CI50" i="2"/>
  <c r="CI48" i="2"/>
  <c r="AB39" i="753"/>
  <c r="AB25" i="753"/>
  <c r="Q55" i="686"/>
  <c r="Q56" i="686"/>
  <c r="BM190" i="2"/>
  <c r="BM189" i="2"/>
  <c r="J20" i="412"/>
  <c r="J24" i="412"/>
  <c r="J17" i="412"/>
  <c r="J18" i="412" s="1"/>
  <c r="J19" i="412"/>
  <c r="J51" i="412"/>
  <c r="J58" i="412" s="1"/>
  <c r="J12" i="412"/>
  <c r="BL189" i="2"/>
  <c r="BL190" i="2"/>
  <c r="X74" i="551"/>
  <c r="K57" i="551"/>
  <c r="K59" i="551" s="1"/>
  <c r="K54" i="551"/>
  <c r="K53" i="551"/>
  <c r="K116" i="562"/>
  <c r="L24" i="562" s="1"/>
  <c r="L49" i="562" s="1"/>
  <c r="L62" i="562"/>
  <c r="BL85" i="2"/>
  <c r="BL86" i="2" s="1"/>
  <c r="Q16" i="686"/>
  <c r="Q15" i="686"/>
  <c r="L91" i="562"/>
  <c r="L118" i="562" s="1"/>
  <c r="M26" i="562" s="1"/>
  <c r="N91" i="562"/>
  <c r="M91" i="562"/>
  <c r="Q62" i="686"/>
  <c r="U67" i="562"/>
  <c r="T121" i="562"/>
  <c r="U29" i="562" s="1"/>
  <c r="U94" i="562" s="1"/>
  <c r="R65" i="565"/>
  <c r="Q119" i="565"/>
  <c r="R27" i="565" s="1"/>
  <c r="R92" i="565" s="1"/>
  <c r="CH188" i="2"/>
  <c r="CH189" i="2" s="1"/>
  <c r="CH50" i="2"/>
  <c r="CH48" i="2"/>
  <c r="Q22" i="686"/>
  <c r="Q95" i="565"/>
  <c r="Q122" i="565" s="1"/>
  <c r="R30" i="565" s="1"/>
  <c r="R95" i="565" s="1"/>
  <c r="R122" i="565" s="1"/>
  <c r="S30" i="565" s="1"/>
  <c r="U69" i="1"/>
  <c r="M118" i="562"/>
  <c r="N26" i="562" s="1"/>
  <c r="N64" i="562"/>
  <c r="N64" i="565"/>
  <c r="S97" i="565"/>
  <c r="S124" i="565" s="1"/>
  <c r="T32" i="565" s="1"/>
  <c r="Q101" i="686"/>
  <c r="Q102" i="686"/>
  <c r="R19" i="565"/>
  <c r="R156" i="565"/>
  <c r="S20" i="753"/>
  <c r="S13" i="753"/>
  <c r="U126" i="565"/>
  <c r="V72" i="565"/>
  <c r="T70" i="565"/>
  <c r="BL98" i="2"/>
  <c r="CI98" i="2" s="1"/>
  <c r="CI82" i="2"/>
  <c r="R14" i="686"/>
  <c r="R22" i="686"/>
  <c r="S20" i="686"/>
  <c r="Q95" i="551"/>
  <c r="W126" i="551"/>
  <c r="X34" i="551" s="1"/>
  <c r="X99" i="551" s="1"/>
  <c r="X72" i="551"/>
  <c r="R96" i="686"/>
  <c r="S94" i="686"/>
  <c r="R100" i="686"/>
  <c r="K89" i="562"/>
  <c r="N117" i="565"/>
  <c r="O25" i="565" s="1"/>
  <c r="O90" i="565" s="1"/>
  <c r="O63" i="565"/>
  <c r="U124" i="562"/>
  <c r="V32" i="562" s="1"/>
  <c r="V97" i="562" s="1"/>
  <c r="V70" i="562"/>
  <c r="M62" i="551"/>
  <c r="R19" i="562"/>
  <c r="R156" i="562"/>
  <c r="K54" i="562"/>
  <c r="K53" i="562"/>
  <c r="K57" i="562"/>
  <c r="K59" i="562" s="1"/>
  <c r="V125" i="565"/>
  <c r="W33" i="565" s="1"/>
  <c r="W98" i="565" s="1"/>
  <c r="W71" i="565"/>
  <c r="P120" i="551"/>
  <c r="Q28" i="551" s="1"/>
  <c r="Q93" i="551" s="1"/>
  <c r="Q66" i="551"/>
  <c r="I53" i="562"/>
  <c r="I54" i="562"/>
  <c r="I57" i="562"/>
  <c r="I59" i="562" s="1"/>
  <c r="V34" i="562"/>
  <c r="V99" i="562" s="1"/>
  <c r="Y127" i="562"/>
  <c r="Z35" i="562" s="1"/>
  <c r="Z100" i="562" s="1"/>
  <c r="Z73" i="562"/>
  <c r="R121" i="551"/>
  <c r="S29" i="551" s="1"/>
  <c r="S94" i="551" s="1"/>
  <c r="S67" i="551"/>
  <c r="V126" i="562"/>
  <c r="W34" i="562" s="1"/>
  <c r="W99" i="562" s="1"/>
  <c r="W72" i="562"/>
  <c r="X124" i="551"/>
  <c r="Y32" i="551" s="1"/>
  <c r="Y97" i="551" s="1"/>
  <c r="Y70" i="551"/>
  <c r="BK189" i="2"/>
  <c r="BK190" i="2"/>
  <c r="AC170" i="753"/>
  <c r="AC161" i="753"/>
  <c r="AC169" i="753"/>
  <c r="AD165" i="753"/>
  <c r="AD168" i="753" s="1"/>
  <c r="AC174" i="753"/>
  <c r="L30" i="686"/>
  <c r="M33" i="686"/>
  <c r="Q122" i="551"/>
  <c r="R30" i="551" s="1"/>
  <c r="R68" i="551"/>
  <c r="X127" i="565"/>
  <c r="Y35" i="565" s="1"/>
  <c r="Y100" i="565" s="1"/>
  <c r="Y73" i="565"/>
  <c r="R54" i="686"/>
  <c r="R62" i="686" s="1"/>
  <c r="S60" i="686"/>
  <c r="O79" i="686"/>
  <c r="N83" i="686"/>
  <c r="R31" i="562"/>
  <c r="X84" i="686"/>
  <c r="J85" i="686"/>
  <c r="Z128" i="565"/>
  <c r="AA36" i="565" s="1"/>
  <c r="AA101" i="565" s="1"/>
  <c r="AA74" i="565"/>
  <c r="Y73" i="551"/>
  <c r="X127" i="551"/>
  <c r="Y35" i="551" s="1"/>
  <c r="Y100" i="551" s="1"/>
  <c r="T69" i="551"/>
  <c r="S123" i="551"/>
  <c r="T31" i="551" s="1"/>
  <c r="T96" i="551" s="1"/>
  <c r="N63" i="562"/>
  <c r="M117" i="562"/>
  <c r="N25" i="562" s="1"/>
  <c r="N90" i="562" s="1"/>
  <c r="N62" i="565"/>
  <c r="M116" i="565"/>
  <c r="N24" i="565" s="1"/>
  <c r="S19" i="551"/>
  <c r="S156" i="551"/>
  <c r="S175" i="551" s="1"/>
  <c r="V125" i="562"/>
  <c r="W33" i="562" s="1"/>
  <c r="W98" i="562" s="1"/>
  <c r="W71" i="562"/>
  <c r="M49" i="565"/>
  <c r="M89" i="565"/>
  <c r="Q39" i="686"/>
  <c r="P43" i="686"/>
  <c r="J110" i="686"/>
  <c r="X122" i="686"/>
  <c r="J124" i="686"/>
  <c r="Y128" i="562"/>
  <c r="Z36" i="562" s="1"/>
  <c r="Z101" i="562" s="1"/>
  <c r="Z74" i="562"/>
  <c r="AC32" i="753"/>
  <c r="BK98" i="2"/>
  <c r="CH98" i="2" s="1"/>
  <c r="CH82" i="2"/>
  <c r="N119" i="562"/>
  <c r="O27" i="562" s="1"/>
  <c r="O92" i="562" s="1"/>
  <c r="O65" i="562"/>
  <c r="O92" i="551"/>
  <c r="O119" i="551" s="1"/>
  <c r="P27" i="551" s="1"/>
  <c r="CI158" i="2"/>
  <c r="CI163" i="2" s="1"/>
  <c r="S95" i="565" l="1"/>
  <c r="M49" i="551"/>
  <c r="M89" i="551"/>
  <c r="J59" i="412"/>
  <c r="J81" i="412"/>
  <c r="J82" i="412"/>
  <c r="P92" i="551"/>
  <c r="P119" i="551" s="1"/>
  <c r="Q27" i="551" s="1"/>
  <c r="Q92" i="551" s="1"/>
  <c r="T97" i="565"/>
  <c r="P79" i="686"/>
  <c r="O83" i="686"/>
  <c r="Y83" i="686" s="1"/>
  <c r="Y79" i="686"/>
  <c r="O117" i="565"/>
  <c r="P25" i="565" s="1"/>
  <c r="P90" i="565" s="1"/>
  <c r="P63" i="565"/>
  <c r="O119" i="686"/>
  <c r="N123" i="686"/>
  <c r="J125" i="686"/>
  <c r="X124" i="686"/>
  <c r="N117" i="562"/>
  <c r="O25" i="562" s="1"/>
  <c r="O90" i="562" s="1"/>
  <c r="O63" i="562"/>
  <c r="W125" i="565"/>
  <c r="X33" i="565" s="1"/>
  <c r="X98" i="565" s="1"/>
  <c r="X71" i="565"/>
  <c r="R101" i="686"/>
  <c r="R102" i="686"/>
  <c r="O64" i="565"/>
  <c r="N118" i="565"/>
  <c r="O26" i="565" s="1"/>
  <c r="O91" i="565" s="1"/>
  <c r="T123" i="565"/>
  <c r="U31" i="565" s="1"/>
  <c r="U96" i="565" s="1"/>
  <c r="U69" i="565"/>
  <c r="Q65" i="551"/>
  <c r="R175" i="551"/>
  <c r="R159" i="551"/>
  <c r="R122" i="551"/>
  <c r="S30" i="551" s="1"/>
  <c r="S68" i="551"/>
  <c r="X72" i="562"/>
  <c r="W126" i="562"/>
  <c r="X34" i="562" s="1"/>
  <c r="X99" i="562" s="1"/>
  <c r="S96" i="686"/>
  <c r="T94" i="686"/>
  <c r="S100" i="686"/>
  <c r="S57" i="753"/>
  <c r="S14" i="753"/>
  <c r="AB14" i="753" s="1"/>
  <c r="AB13" i="753"/>
  <c r="M62" i="562"/>
  <c r="J27" i="412"/>
  <c r="J26" i="412"/>
  <c r="J25" i="412"/>
  <c r="CI162" i="2"/>
  <c r="CI134" i="2"/>
  <c r="R21" i="551"/>
  <c r="R20" i="551"/>
  <c r="Q120" i="551"/>
  <c r="R28" i="551" s="1"/>
  <c r="R93" i="551" s="1"/>
  <c r="R66" i="551"/>
  <c r="M30" i="686"/>
  <c r="N33" i="686"/>
  <c r="S121" i="551"/>
  <c r="T29" i="551" s="1"/>
  <c r="T94" i="551" s="1"/>
  <c r="T67" i="551"/>
  <c r="X126" i="551"/>
  <c r="Y34" i="551" s="1"/>
  <c r="Y99" i="551" s="1"/>
  <c r="Y72" i="551"/>
  <c r="K58" i="1"/>
  <c r="K59" i="1" s="1"/>
  <c r="K24" i="1"/>
  <c r="K17" i="1"/>
  <c r="K19" i="1"/>
  <c r="K20" i="1"/>
  <c r="K51" i="1"/>
  <c r="K12" i="1"/>
  <c r="L34" i="686"/>
  <c r="L35" i="686"/>
  <c r="L42" i="686"/>
  <c r="L44" i="686" s="1"/>
  <c r="L31" i="686"/>
  <c r="L32" i="686" s="1"/>
  <c r="S66" i="565"/>
  <c r="R120" i="565"/>
  <c r="S28" i="565" s="1"/>
  <c r="S93" i="565" s="1"/>
  <c r="V120" i="562"/>
  <c r="W28" i="562" s="1"/>
  <c r="W93" i="562" s="1"/>
  <c r="W66" i="562"/>
  <c r="J14" i="1"/>
  <c r="J13" i="1"/>
  <c r="R175" i="562"/>
  <c r="R159" i="562"/>
  <c r="J81" i="1"/>
  <c r="AE81" i="1" s="1"/>
  <c r="J59" i="1"/>
  <c r="J82" i="1"/>
  <c r="S54" i="686"/>
  <c r="T60" i="686"/>
  <c r="J113" i="686"/>
  <c r="K113" i="686" s="1"/>
  <c r="J111" i="686"/>
  <c r="X110" i="686"/>
  <c r="J114" i="686"/>
  <c r="J115" i="686"/>
  <c r="T123" i="551"/>
  <c r="U31" i="551" s="1"/>
  <c r="U96" i="551" s="1"/>
  <c r="U69" i="551"/>
  <c r="R39" i="686"/>
  <c r="Q43" i="686"/>
  <c r="Y127" i="551"/>
  <c r="Z35" i="551" s="1"/>
  <c r="Z100" i="551" s="1"/>
  <c r="Z73" i="551"/>
  <c r="R175" i="565"/>
  <c r="R159" i="565"/>
  <c r="AB74" i="565"/>
  <c r="AA128" i="565"/>
  <c r="AB36" i="565" s="1"/>
  <c r="AB101" i="565" s="1"/>
  <c r="Z127" i="562"/>
  <c r="AA35" i="562" s="1"/>
  <c r="AA100" i="562" s="1"/>
  <c r="AA73" i="562"/>
  <c r="R20" i="565"/>
  <c r="R21" i="565"/>
  <c r="M57" i="565"/>
  <c r="M59" i="565" s="1"/>
  <c r="M53" i="565"/>
  <c r="M54" i="565"/>
  <c r="S95" i="551"/>
  <c r="R21" i="562"/>
  <c r="R20" i="562"/>
  <c r="S22" i="686"/>
  <c r="S14" i="686"/>
  <c r="T20" i="686"/>
  <c r="J13" i="412"/>
  <c r="J14" i="412"/>
  <c r="N118" i="562"/>
  <c r="O26" i="562" s="1"/>
  <c r="O64" i="562"/>
  <c r="L54" i="562"/>
  <c r="L53" i="562"/>
  <c r="L57" i="562"/>
  <c r="L59" i="562" s="1"/>
  <c r="Y74" i="551"/>
  <c r="X128" i="551"/>
  <c r="Y36" i="551" s="1"/>
  <c r="Y101" i="551" s="1"/>
  <c r="M117" i="551"/>
  <c r="N25" i="551" s="1"/>
  <c r="N90" i="551" s="1"/>
  <c r="N63" i="551"/>
  <c r="W125" i="551"/>
  <c r="X33" i="551" s="1"/>
  <c r="X98" i="551" s="1"/>
  <c r="X71" i="551"/>
  <c r="J26" i="1"/>
  <c r="J25" i="1"/>
  <c r="J27" i="1"/>
  <c r="L57" i="551"/>
  <c r="L59" i="551" s="1"/>
  <c r="L54" i="551"/>
  <c r="L53" i="551"/>
  <c r="X71" i="562"/>
  <c r="W125" i="562"/>
  <c r="X33" i="562" s="1"/>
  <c r="X98" i="562" s="1"/>
  <c r="AD170" i="753"/>
  <c r="AD169" i="753"/>
  <c r="AD161" i="753"/>
  <c r="AD174" i="753"/>
  <c r="BO83" i="2"/>
  <c r="W121" i="565"/>
  <c r="X29" i="565" s="1"/>
  <c r="X94" i="565" s="1"/>
  <c r="X67" i="565"/>
  <c r="S122" i="565"/>
  <c r="T30" i="565" s="1"/>
  <c r="T95" i="565" s="1"/>
  <c r="T68" i="565"/>
  <c r="O119" i="562"/>
  <c r="P27" i="562" s="1"/>
  <c r="P92" i="562" s="1"/>
  <c r="P65" i="562"/>
  <c r="R96" i="562"/>
  <c r="R123" i="562" s="1"/>
  <c r="S31" i="562" s="1"/>
  <c r="S96" i="562" s="1"/>
  <c r="S123" i="562" s="1"/>
  <c r="T31" i="562" s="1"/>
  <c r="T96" i="562" s="1"/>
  <c r="M116" i="551"/>
  <c r="N24" i="551" s="1"/>
  <c r="N62" i="551"/>
  <c r="R16" i="686"/>
  <c r="R15" i="686"/>
  <c r="R119" i="565"/>
  <c r="S27" i="565" s="1"/>
  <c r="S92" i="565" s="1"/>
  <c r="S65" i="565"/>
  <c r="J14" i="411"/>
  <c r="J13" i="411"/>
  <c r="L89" i="562"/>
  <c r="L116" i="562" s="1"/>
  <c r="M24" i="562" s="1"/>
  <c r="O118" i="551"/>
  <c r="P26" i="551" s="1"/>
  <c r="P91" i="551" s="1"/>
  <c r="P64" i="551"/>
  <c r="AC175" i="753"/>
  <c r="AC207" i="753"/>
  <c r="AC189" i="753"/>
  <c r="AC210" i="753"/>
  <c r="AC212" i="753" s="1"/>
  <c r="AC213" i="753" s="1"/>
  <c r="AC160" i="753"/>
  <c r="AC162" i="753"/>
  <c r="AC204" i="753"/>
  <c r="V124" i="562"/>
  <c r="W32" i="562" s="1"/>
  <c r="W97" i="562" s="1"/>
  <c r="W70" i="562"/>
  <c r="J26" i="411"/>
  <c r="J25" i="411"/>
  <c r="J27" i="411"/>
  <c r="J59" i="411"/>
  <c r="J81" i="411"/>
  <c r="J82" i="411"/>
  <c r="S20" i="551"/>
  <c r="S21" i="551"/>
  <c r="S76" i="551" s="1"/>
  <c r="U121" i="562"/>
  <c r="V29" i="562" s="1"/>
  <c r="V94" i="562" s="1"/>
  <c r="V67" i="562"/>
  <c r="T124" i="565"/>
  <c r="U32" i="565" s="1"/>
  <c r="U97" i="565" s="1"/>
  <c r="U70" i="565"/>
  <c r="AC25" i="753"/>
  <c r="AC39" i="753"/>
  <c r="N49" i="565"/>
  <c r="N89" i="565"/>
  <c r="N116" i="565" s="1"/>
  <c r="O24" i="565" s="1"/>
  <c r="V122" i="562"/>
  <c r="W30" i="562" s="1"/>
  <c r="W95" i="562" s="1"/>
  <c r="W68" i="562"/>
  <c r="Z128" i="562"/>
  <c r="AA36" i="562" s="1"/>
  <c r="AA101" i="562" s="1"/>
  <c r="AA74" i="562"/>
  <c r="BO189" i="2"/>
  <c r="BO190" i="2"/>
  <c r="V34" i="565"/>
  <c r="V99" i="565" s="1"/>
  <c r="V126" i="565" s="1"/>
  <c r="W34" i="565" s="1"/>
  <c r="W99" i="565" s="1"/>
  <c r="R55" i="686"/>
  <c r="R56" i="686"/>
  <c r="O62" i="565"/>
  <c r="W72" i="565"/>
  <c r="Z73" i="565"/>
  <c r="Y127" i="565"/>
  <c r="Z35" i="565" s="1"/>
  <c r="Z100" i="565" s="1"/>
  <c r="Y124" i="551"/>
  <c r="Z32" i="551" s="1"/>
  <c r="Z97" i="551" s="1"/>
  <c r="Z70" i="551"/>
  <c r="T69" i="562"/>
  <c r="K70" i="686"/>
  <c r="L73" i="686"/>
  <c r="M49" i="562" l="1"/>
  <c r="M89" i="562"/>
  <c r="M116" i="562" s="1"/>
  <c r="N24" i="562" s="1"/>
  <c r="O49" i="565"/>
  <c r="O89" i="565"/>
  <c r="R152" i="562"/>
  <c r="S155" i="562"/>
  <c r="CI143" i="2"/>
  <c r="K32" i="686"/>
  <c r="W67" i="562"/>
  <c r="V121" i="562"/>
  <c r="W29" i="562" s="1"/>
  <c r="W94" i="562" s="1"/>
  <c r="BO85" i="2"/>
  <c r="BO86" i="2" s="1"/>
  <c r="CI83" i="2"/>
  <c r="CI85" i="2" s="1"/>
  <c r="CI86" i="2" s="1"/>
  <c r="P63" i="562"/>
  <c r="O117" i="562"/>
  <c r="P25" i="562" s="1"/>
  <c r="P90" i="562" s="1"/>
  <c r="S39" i="686"/>
  <c r="R43" i="686"/>
  <c r="X126" i="562"/>
  <c r="Y34" i="562" s="1"/>
  <c r="Y99" i="562" s="1"/>
  <c r="Y72" i="562"/>
  <c r="AD210" i="753"/>
  <c r="AD212" i="753" s="1"/>
  <c r="AD213" i="753" s="1"/>
  <c r="AD162" i="753"/>
  <c r="AD160" i="753"/>
  <c r="AD204" i="753"/>
  <c r="U123" i="551"/>
  <c r="V31" i="551" s="1"/>
  <c r="V96" i="551" s="1"/>
  <c r="V69" i="551"/>
  <c r="K26" i="1"/>
  <c r="K25" i="1"/>
  <c r="K27" i="1"/>
  <c r="S122" i="551"/>
  <c r="T30" i="551" s="1"/>
  <c r="T95" i="551" s="1"/>
  <c r="T68" i="551"/>
  <c r="X66" i="562"/>
  <c r="W120" i="562"/>
  <c r="X28" i="562" s="1"/>
  <c r="X93" i="562" s="1"/>
  <c r="S38" i="551"/>
  <c r="T76" i="551"/>
  <c r="Q64" i="551"/>
  <c r="P118" i="551"/>
  <c r="Q26" i="551" s="1"/>
  <c r="Q91" i="551" s="1"/>
  <c r="AD189" i="753"/>
  <c r="AD175" i="753"/>
  <c r="AD207" i="753"/>
  <c r="Y128" i="551"/>
  <c r="Z36" i="551" s="1"/>
  <c r="Z101" i="551" s="1"/>
  <c r="Z74" i="551"/>
  <c r="Y126" i="551"/>
  <c r="Z34" i="551" s="1"/>
  <c r="Z99" i="551" s="1"/>
  <c r="Z72" i="551"/>
  <c r="S155" i="551"/>
  <c r="R152" i="551"/>
  <c r="N62" i="562"/>
  <c r="Y119" i="686"/>
  <c r="P119" i="686"/>
  <c r="O123" i="686"/>
  <c r="Y123" i="686" s="1"/>
  <c r="O116" i="565"/>
  <c r="P24" i="565" s="1"/>
  <c r="P62" i="565"/>
  <c r="AC188" i="753"/>
  <c r="AC194" i="753"/>
  <c r="AC190" i="753"/>
  <c r="N117" i="551"/>
  <c r="O25" i="551" s="1"/>
  <c r="O90" i="551" s="1"/>
  <c r="O63" i="551"/>
  <c r="K71" i="686"/>
  <c r="K72" i="686" s="1"/>
  <c r="K82" i="686"/>
  <c r="K84" i="686" s="1"/>
  <c r="K74" i="686"/>
  <c r="K75" i="686"/>
  <c r="AA128" i="562"/>
  <c r="AB36" i="562" s="1"/>
  <c r="AB101" i="562" s="1"/>
  <c r="AB74" i="562"/>
  <c r="X125" i="562"/>
  <c r="Y33" i="562" s="1"/>
  <c r="Y98" i="562" s="1"/>
  <c r="Y71" i="562"/>
  <c r="R75" i="565"/>
  <c r="R153" i="565"/>
  <c r="S120" i="565"/>
  <c r="T28" i="565" s="1"/>
  <c r="T93" i="565" s="1"/>
  <c r="T66" i="565"/>
  <c r="Q119" i="551"/>
  <c r="R27" i="551" s="1"/>
  <c r="R92" i="551" s="1"/>
  <c r="R65" i="551"/>
  <c r="P117" i="565"/>
  <c r="Q25" i="565" s="1"/>
  <c r="Q90" i="565" s="1"/>
  <c r="Q63" i="565"/>
  <c r="U67" i="551"/>
  <c r="T121" i="551"/>
  <c r="U29" i="551" s="1"/>
  <c r="U94" i="551" s="1"/>
  <c r="T123" i="562"/>
  <c r="U31" i="562" s="1"/>
  <c r="U96" i="562" s="1"/>
  <c r="U69" i="562"/>
  <c r="U124" i="565"/>
  <c r="V32" i="565" s="1"/>
  <c r="V97" i="565" s="1"/>
  <c r="V70" i="565"/>
  <c r="AC203" i="753"/>
  <c r="AC179" i="753"/>
  <c r="R75" i="562"/>
  <c r="R153" i="562"/>
  <c r="AB73" i="562"/>
  <c r="AA127" i="562"/>
  <c r="AB35" i="562" s="1"/>
  <c r="AB100" i="562" s="1"/>
  <c r="K110" i="686"/>
  <c r="L113" i="686"/>
  <c r="N30" i="686"/>
  <c r="O33" i="686"/>
  <c r="AB20" i="753"/>
  <c r="AB57" i="753"/>
  <c r="AB27" i="753"/>
  <c r="U123" i="565"/>
  <c r="V31" i="565" s="1"/>
  <c r="V96" i="565" s="1"/>
  <c r="V69" i="565"/>
  <c r="N49" i="551"/>
  <c r="N89" i="551"/>
  <c r="N116" i="551" s="1"/>
  <c r="O24" i="551" s="1"/>
  <c r="Z124" i="551"/>
  <c r="AA32" i="551" s="1"/>
  <c r="AA97" i="551" s="1"/>
  <c r="AA70" i="551"/>
  <c r="T65" i="565"/>
  <c r="S119" i="565"/>
  <c r="T27" i="565" s="1"/>
  <c r="T92" i="565" s="1"/>
  <c r="P64" i="562"/>
  <c r="T54" i="686"/>
  <c r="Z60" i="686"/>
  <c r="U60" i="686"/>
  <c r="T62" i="686"/>
  <c r="L45" i="686"/>
  <c r="L46" i="686" s="1"/>
  <c r="L8" i="1"/>
  <c r="M34" i="686"/>
  <c r="M35" i="686"/>
  <c r="M42" i="686"/>
  <c r="M44" i="686" s="1"/>
  <c r="M31" i="686"/>
  <c r="M32" i="686" s="1"/>
  <c r="S15" i="753"/>
  <c r="W126" i="565"/>
  <c r="X34" i="565" s="1"/>
  <c r="X99" i="565" s="1"/>
  <c r="X72" i="565"/>
  <c r="L70" i="686"/>
  <c r="M73" i="686"/>
  <c r="O91" i="562"/>
  <c r="O118" i="562" s="1"/>
  <c r="P26" i="562" s="1"/>
  <c r="P91" i="562" s="1"/>
  <c r="S55" i="686"/>
  <c r="S56" i="686"/>
  <c r="AB16" i="753"/>
  <c r="Q79" i="686"/>
  <c r="P83" i="686"/>
  <c r="W122" i="562"/>
  <c r="X30" i="562" s="1"/>
  <c r="X95" i="562" s="1"/>
  <c r="X68" i="562"/>
  <c r="Q65" i="562"/>
  <c r="P119" i="562"/>
  <c r="Q27" i="562" s="1"/>
  <c r="Q92" i="562" s="1"/>
  <c r="N54" i="565"/>
  <c r="N57" i="565"/>
  <c r="N59" i="565" s="1"/>
  <c r="N53" i="565"/>
  <c r="W124" i="562"/>
  <c r="X32" i="562" s="1"/>
  <c r="X97" i="562" s="1"/>
  <c r="X70" i="562"/>
  <c r="AB128" i="565"/>
  <c r="AC36" i="565" s="1"/>
  <c r="AC101" i="565" s="1"/>
  <c r="AC74" i="565"/>
  <c r="AC128" i="565" s="1"/>
  <c r="S62" i="686"/>
  <c r="R120" i="551"/>
  <c r="S28" i="551" s="1"/>
  <c r="S93" i="551" s="1"/>
  <c r="S66" i="551"/>
  <c r="O118" i="565"/>
  <c r="P26" i="565" s="1"/>
  <c r="P91" i="565" s="1"/>
  <c r="P64" i="565"/>
  <c r="M54" i="551"/>
  <c r="M53" i="551"/>
  <c r="M57" i="551"/>
  <c r="M59" i="551" s="1"/>
  <c r="Z127" i="565"/>
  <c r="AA35" i="565" s="1"/>
  <c r="AA100" i="565" s="1"/>
  <c r="AA73" i="565"/>
  <c r="T122" i="565"/>
  <c r="U30" i="565" s="1"/>
  <c r="U95" i="565" s="1"/>
  <c r="U68" i="565"/>
  <c r="R152" i="565"/>
  <c r="S155" i="565"/>
  <c r="K14" i="1"/>
  <c r="K13" i="1"/>
  <c r="O62" i="551"/>
  <c r="T22" i="686"/>
  <c r="T14" i="686"/>
  <c r="U20" i="686"/>
  <c r="Z20" i="686"/>
  <c r="S101" i="686"/>
  <c r="S102" i="686"/>
  <c r="Y67" i="565"/>
  <c r="X121" i="565"/>
  <c r="Y29" i="565" s="1"/>
  <c r="Y94" i="565" s="1"/>
  <c r="X125" i="551"/>
  <c r="Y33" i="551" s="1"/>
  <c r="Y98" i="551" s="1"/>
  <c r="Y71" i="551"/>
  <c r="S15" i="686"/>
  <c r="S16" i="686"/>
  <c r="Z127" i="551"/>
  <c r="AA35" i="551" s="1"/>
  <c r="AA100" i="551" s="1"/>
  <c r="AA73" i="551"/>
  <c r="R75" i="551"/>
  <c r="R153" i="551"/>
  <c r="T100" i="686"/>
  <c r="Z94" i="686"/>
  <c r="T96" i="686"/>
  <c r="U94" i="686"/>
  <c r="X125" i="565"/>
  <c r="Y33" i="565" s="1"/>
  <c r="Y98" i="565" s="1"/>
  <c r="Y71" i="565"/>
  <c r="N49" i="562" l="1"/>
  <c r="N89" i="562"/>
  <c r="N116" i="562" s="1"/>
  <c r="O24" i="562" s="1"/>
  <c r="O49" i="551"/>
  <c r="O89" i="551"/>
  <c r="O116" i="551" s="1"/>
  <c r="P24" i="551" s="1"/>
  <c r="U100" i="686"/>
  <c r="U96" i="686"/>
  <c r="M45" i="686"/>
  <c r="M46" i="686" s="1"/>
  <c r="M8" i="1"/>
  <c r="N57" i="551"/>
  <c r="N59" i="551" s="1"/>
  <c r="N54" i="551"/>
  <c r="N53" i="551"/>
  <c r="Y68" i="562"/>
  <c r="X122" i="562"/>
  <c r="Y30" i="562" s="1"/>
  <c r="Y95" i="562" s="1"/>
  <c r="U14" i="686"/>
  <c r="O62" i="562"/>
  <c r="AB127" i="562"/>
  <c r="AC35" i="562" s="1"/>
  <c r="AC100" i="562" s="1"/>
  <c r="AC73" i="562"/>
  <c r="R37" i="562"/>
  <c r="S75" i="562"/>
  <c r="U76" i="551"/>
  <c r="Q119" i="562"/>
  <c r="R27" i="562" s="1"/>
  <c r="R92" i="562" s="1"/>
  <c r="R65" i="562"/>
  <c r="P118" i="565"/>
  <c r="Q26" i="565" s="1"/>
  <c r="Q91" i="565" s="1"/>
  <c r="Q64" i="565"/>
  <c r="V123" i="565"/>
  <c r="W31" i="565" s="1"/>
  <c r="W96" i="565" s="1"/>
  <c r="W69" i="565"/>
  <c r="W70" i="565"/>
  <c r="V124" i="565"/>
  <c r="W32" i="565" s="1"/>
  <c r="W97" i="565" s="1"/>
  <c r="AB128" i="562"/>
  <c r="AC36" i="562" s="1"/>
  <c r="AC101" i="562" s="1"/>
  <c r="AC74" i="562"/>
  <c r="AC128" i="562" s="1"/>
  <c r="S43" i="686"/>
  <c r="T39" i="686"/>
  <c r="Z14" i="686"/>
  <c r="T15" i="686"/>
  <c r="T16" i="686"/>
  <c r="X120" i="562"/>
  <c r="Y28" i="562" s="1"/>
  <c r="Y93" i="562" s="1"/>
  <c r="Y66" i="562"/>
  <c r="AB26" i="753"/>
  <c r="AC24" i="753"/>
  <c r="AC27" i="753" s="1"/>
  <c r="U123" i="562"/>
  <c r="V31" i="562" s="1"/>
  <c r="V96" i="562" s="1"/>
  <c r="V69" i="562"/>
  <c r="R170" i="551"/>
  <c r="T122" i="551"/>
  <c r="U30" i="551" s="1"/>
  <c r="U95" i="551" s="1"/>
  <c r="U68" i="551"/>
  <c r="P117" i="562"/>
  <c r="Q25" i="562" s="1"/>
  <c r="Q90" i="562" s="1"/>
  <c r="Q63" i="562"/>
  <c r="K85" i="686"/>
  <c r="K86" i="686" s="1"/>
  <c r="K8" i="411"/>
  <c r="Z126" i="551"/>
  <c r="AA34" i="551" s="1"/>
  <c r="AA99" i="551" s="1"/>
  <c r="AA72" i="551"/>
  <c r="AA127" i="565"/>
  <c r="AB35" i="565" s="1"/>
  <c r="AB100" i="565" s="1"/>
  <c r="AB73" i="565"/>
  <c r="T119" i="565"/>
  <c r="U27" i="565" s="1"/>
  <c r="U92" i="565" s="1"/>
  <c r="U65" i="565"/>
  <c r="R37" i="565"/>
  <c r="S75" i="565"/>
  <c r="T101" i="686"/>
  <c r="Z100" i="686"/>
  <c r="T102" i="686"/>
  <c r="P62" i="551"/>
  <c r="U54" i="686"/>
  <c r="U62" i="686" s="1"/>
  <c r="V67" i="551"/>
  <c r="U121" i="551"/>
  <c r="V29" i="551" s="1"/>
  <c r="V94" i="551" s="1"/>
  <c r="O30" i="686"/>
  <c r="P33" i="686"/>
  <c r="R63" i="565"/>
  <c r="Q117" i="565"/>
  <c r="R25" i="565" s="1"/>
  <c r="R90" i="565" s="1"/>
  <c r="P63" i="551"/>
  <c r="O117" i="551"/>
  <c r="P25" i="551" s="1"/>
  <c r="P90" i="551" s="1"/>
  <c r="W121" i="562"/>
  <c r="X29" i="562" s="1"/>
  <c r="X94" i="562" s="1"/>
  <c r="X67" i="562"/>
  <c r="AA74" i="551"/>
  <c r="Z128" i="551"/>
  <c r="AA36" i="551" s="1"/>
  <c r="AA101" i="551" s="1"/>
  <c r="S158" i="565"/>
  <c r="Z54" i="686"/>
  <c r="T55" i="686"/>
  <c r="T56" i="686"/>
  <c r="N34" i="686"/>
  <c r="N35" i="686"/>
  <c r="N42" i="686"/>
  <c r="N44" i="686" s="1"/>
  <c r="N31" i="686"/>
  <c r="N32" i="686" s="1"/>
  <c r="V123" i="551"/>
  <c r="W31" i="551" s="1"/>
  <c r="W96" i="551" s="1"/>
  <c r="W69" i="551"/>
  <c r="X126" i="565"/>
  <c r="Y34" i="565" s="1"/>
  <c r="Y99" i="565" s="1"/>
  <c r="Y72" i="565"/>
  <c r="Z71" i="565"/>
  <c r="Y125" i="565"/>
  <c r="Z33" i="565" s="1"/>
  <c r="Z98" i="565" s="1"/>
  <c r="AB15" i="753"/>
  <c r="S21" i="753"/>
  <c r="S34" i="753"/>
  <c r="Y126" i="562"/>
  <c r="Z34" i="562" s="1"/>
  <c r="Z99" i="562" s="1"/>
  <c r="Z72" i="562"/>
  <c r="R79" i="686"/>
  <c r="Q83" i="686"/>
  <c r="L41" i="1"/>
  <c r="L24" i="1"/>
  <c r="L9" i="1"/>
  <c r="L10" i="1" s="1"/>
  <c r="S153" i="551"/>
  <c r="S120" i="551"/>
  <c r="T28" i="551" s="1"/>
  <c r="T93" i="551" s="1"/>
  <c r="T66" i="551"/>
  <c r="AA127" i="551"/>
  <c r="AB35" i="551" s="1"/>
  <c r="AB100" i="551" s="1"/>
  <c r="AB73" i="551"/>
  <c r="S158" i="551"/>
  <c r="R37" i="551"/>
  <c r="S75" i="551"/>
  <c r="R170" i="565"/>
  <c r="X124" i="562"/>
  <c r="Y32" i="562" s="1"/>
  <c r="Y97" i="562" s="1"/>
  <c r="Y70" i="562"/>
  <c r="P118" i="562"/>
  <c r="Q26" i="562" s="1"/>
  <c r="Q91" i="562" s="1"/>
  <c r="Q64" i="562"/>
  <c r="L110" i="686"/>
  <c r="M113" i="686"/>
  <c r="S65" i="551"/>
  <c r="R119" i="551"/>
  <c r="S27" i="551" s="1"/>
  <c r="S92" i="551" s="1"/>
  <c r="Z71" i="551"/>
  <c r="Y125" i="551"/>
  <c r="Z33" i="551" s="1"/>
  <c r="Z98" i="551" s="1"/>
  <c r="U122" i="565"/>
  <c r="V30" i="565" s="1"/>
  <c r="V95" i="565" s="1"/>
  <c r="V68" i="565"/>
  <c r="M70" i="686"/>
  <c r="N73" i="686"/>
  <c r="K111" i="686"/>
  <c r="K112" i="686" s="1"/>
  <c r="K122" i="686"/>
  <c r="K124" i="686" s="1"/>
  <c r="K114" i="686"/>
  <c r="K115" i="686"/>
  <c r="S158" i="562"/>
  <c r="P116" i="565"/>
  <c r="Q24" i="565" s="1"/>
  <c r="Q62" i="565"/>
  <c r="L71" i="686"/>
  <c r="L72" i="686" s="1"/>
  <c r="L82" i="686"/>
  <c r="L84" i="686" s="1"/>
  <c r="L74" i="686"/>
  <c r="L75" i="686"/>
  <c r="T120" i="565"/>
  <c r="U28" i="565" s="1"/>
  <c r="U93" i="565" s="1"/>
  <c r="U66" i="565"/>
  <c r="AD188" i="753"/>
  <c r="AD194" i="753"/>
  <c r="AD190" i="753"/>
  <c r="AD179" i="753"/>
  <c r="AD203" i="753"/>
  <c r="R170" i="562"/>
  <c r="Y121" i="565"/>
  <c r="Z29" i="565" s="1"/>
  <c r="Z94" i="565" s="1"/>
  <c r="Z67" i="565"/>
  <c r="AB70" i="551"/>
  <c r="AA124" i="551"/>
  <c r="AB32" i="551" s="1"/>
  <c r="AB97" i="551" s="1"/>
  <c r="P49" i="565"/>
  <c r="P89" i="565"/>
  <c r="Q118" i="551"/>
  <c r="R26" i="551" s="1"/>
  <c r="R91" i="551" s="1"/>
  <c r="R64" i="551"/>
  <c r="O57" i="565"/>
  <c r="O59" i="565" s="1"/>
  <c r="O54" i="565"/>
  <c r="O53" i="565"/>
  <c r="Y125" i="562"/>
  <c r="Z33" i="562" s="1"/>
  <c r="Z98" i="562" s="1"/>
  <c r="Z71" i="562"/>
  <c r="Q119" i="686"/>
  <c r="P123" i="686"/>
  <c r="S103" i="551"/>
  <c r="S130" i="551" s="1"/>
  <c r="T38" i="551" s="1"/>
  <c r="T103" i="551"/>
  <c r="T130" i="551" s="1"/>
  <c r="U38" i="551" s="1"/>
  <c r="M57" i="562"/>
  <c r="M59" i="562" s="1"/>
  <c r="M53" i="562"/>
  <c r="M54" i="562"/>
  <c r="P49" i="551" l="1"/>
  <c r="P89" i="551"/>
  <c r="P116" i="551" s="1"/>
  <c r="Q24" i="551" s="1"/>
  <c r="O49" i="562"/>
  <c r="O89" i="562"/>
  <c r="O116" i="562" s="1"/>
  <c r="P24" i="562" s="1"/>
  <c r="U103" i="551"/>
  <c r="AB34" i="753"/>
  <c r="AB21" i="753"/>
  <c r="R62" i="565"/>
  <c r="M110" i="686"/>
  <c r="N113" i="686"/>
  <c r="AB74" i="551"/>
  <c r="AA128" i="551"/>
  <c r="AB36" i="551" s="1"/>
  <c r="AB101" i="551" s="1"/>
  <c r="U122" i="551"/>
  <c r="V30" i="551" s="1"/>
  <c r="V95" i="551" s="1"/>
  <c r="V68" i="551"/>
  <c r="N57" i="562"/>
  <c r="N59" i="562" s="1"/>
  <c r="N54" i="562"/>
  <c r="N53" i="562"/>
  <c r="R119" i="686"/>
  <c r="Q123" i="686"/>
  <c r="AA67" i="565"/>
  <c r="Z121" i="565"/>
  <c r="AA29" i="565" s="1"/>
  <c r="AA94" i="565" s="1"/>
  <c r="Q49" i="565"/>
  <c r="Q89" i="565"/>
  <c r="Q116" i="565" s="1"/>
  <c r="R24" i="565" s="1"/>
  <c r="L115" i="686"/>
  <c r="L111" i="686"/>
  <c r="L112" i="686" s="1"/>
  <c r="L122" i="686"/>
  <c r="L124" i="686" s="1"/>
  <c r="L114" i="686"/>
  <c r="AA71" i="565"/>
  <c r="Z125" i="565"/>
  <c r="AA33" i="565" s="1"/>
  <c r="AA98" i="565" s="1"/>
  <c r="Y67" i="562"/>
  <c r="X121" i="562"/>
  <c r="Y29" i="562" s="1"/>
  <c r="Y94" i="562" s="1"/>
  <c r="P62" i="562"/>
  <c r="U15" i="686"/>
  <c r="U16" i="686"/>
  <c r="V121" i="551"/>
  <c r="W29" i="551" s="1"/>
  <c r="W94" i="551" s="1"/>
  <c r="W67" i="551"/>
  <c r="Y126" i="565"/>
  <c r="Z34" i="565" s="1"/>
  <c r="Z99" i="565" s="1"/>
  <c r="Z72" i="565"/>
  <c r="W123" i="565"/>
  <c r="X31" i="565" s="1"/>
  <c r="X96" i="565" s="1"/>
  <c r="X69" i="565"/>
  <c r="U22" i="686"/>
  <c r="U120" i="565"/>
  <c r="V28" i="565" s="1"/>
  <c r="V93" i="565" s="1"/>
  <c r="V66" i="565"/>
  <c r="Z125" i="562"/>
  <c r="AA33" i="562" s="1"/>
  <c r="AA98" i="562" s="1"/>
  <c r="AA71" i="562"/>
  <c r="Q118" i="562"/>
  <c r="R26" i="562" s="1"/>
  <c r="R91" i="562" s="1"/>
  <c r="R64" i="562"/>
  <c r="T75" i="565"/>
  <c r="Y124" i="562"/>
  <c r="Z32" i="562" s="1"/>
  <c r="Z97" i="562" s="1"/>
  <c r="Z70" i="562"/>
  <c r="X69" i="551"/>
  <c r="W123" i="551"/>
  <c r="X31" i="551" s="1"/>
  <c r="X96" i="551" s="1"/>
  <c r="P117" i="551"/>
  <c r="Q25" i="551" s="1"/>
  <c r="Q90" i="551" s="1"/>
  <c r="Q63" i="551"/>
  <c r="V123" i="562"/>
  <c r="W31" i="562" s="1"/>
  <c r="W96" i="562" s="1"/>
  <c r="W69" i="562"/>
  <c r="Y122" i="562"/>
  <c r="Z30" i="562" s="1"/>
  <c r="Z95" i="562" s="1"/>
  <c r="Z68" i="562"/>
  <c r="R102" i="565"/>
  <c r="R129" i="565" s="1"/>
  <c r="S37" i="565" s="1"/>
  <c r="S102" i="565"/>
  <c r="S129" i="565" s="1"/>
  <c r="T37" i="565" s="1"/>
  <c r="R117" i="565"/>
  <c r="S25" i="565" s="1"/>
  <c r="S90" i="565" s="1"/>
  <c r="S63" i="565"/>
  <c r="V65" i="565"/>
  <c r="U119" i="565"/>
  <c r="V27" i="565" s="1"/>
  <c r="V92" i="565" s="1"/>
  <c r="P57" i="565"/>
  <c r="P59" i="565" s="1"/>
  <c r="P53" i="565"/>
  <c r="P54" i="565"/>
  <c r="Q118" i="565"/>
  <c r="R26" i="565" s="1"/>
  <c r="R91" i="565" s="1"/>
  <c r="R64" i="565"/>
  <c r="K125" i="686"/>
  <c r="K126" i="686" s="1"/>
  <c r="K8" i="412"/>
  <c r="X70" i="565"/>
  <c r="W124" i="565"/>
  <c r="X32" i="565" s="1"/>
  <c r="X97" i="565" s="1"/>
  <c r="L26" i="1"/>
  <c r="L25" i="1"/>
  <c r="L16" i="1"/>
  <c r="AD24" i="753"/>
  <c r="AC13" i="753"/>
  <c r="R118" i="551"/>
  <c r="S26" i="551" s="1"/>
  <c r="S91" i="551" s="1"/>
  <c r="S64" i="551"/>
  <c r="AD36" i="753"/>
  <c r="AD32" i="753" s="1"/>
  <c r="T17" i="551"/>
  <c r="N45" i="686"/>
  <c r="N46" i="686" s="1"/>
  <c r="N8" i="1"/>
  <c r="P30" i="686"/>
  <c r="Q33" i="686"/>
  <c r="R119" i="562"/>
  <c r="S27" i="562" s="1"/>
  <c r="S92" i="562" s="1"/>
  <c r="S65" i="562"/>
  <c r="V103" i="551"/>
  <c r="N70" i="686"/>
  <c r="O73" i="686"/>
  <c r="T75" i="551"/>
  <c r="Y30" i="686"/>
  <c r="O34" i="686"/>
  <c r="O35" i="686"/>
  <c r="O42" i="686"/>
  <c r="O31" i="686"/>
  <c r="O32" i="686" s="1"/>
  <c r="AC73" i="565"/>
  <c r="AB127" i="565"/>
  <c r="AC35" i="565" s="1"/>
  <c r="AC100" i="565" s="1"/>
  <c r="Z66" i="562"/>
  <c r="Y120" i="562"/>
  <c r="Z28" i="562" s="1"/>
  <c r="Z93" i="562" s="1"/>
  <c r="M71" i="686"/>
  <c r="M72" i="686" s="1"/>
  <c r="M82" i="686"/>
  <c r="M84" i="686" s="1"/>
  <c r="M74" i="686"/>
  <c r="M75" i="686"/>
  <c r="S79" i="686"/>
  <c r="R83" i="686"/>
  <c r="V76" i="551"/>
  <c r="U130" i="551"/>
  <c r="V38" i="551" s="1"/>
  <c r="M41" i="1"/>
  <c r="U17" i="551" s="1"/>
  <c r="M9" i="1"/>
  <c r="M10" i="1" s="1"/>
  <c r="M24" i="1"/>
  <c r="AA126" i="551"/>
  <c r="AB34" i="551" s="1"/>
  <c r="AB99" i="551" s="1"/>
  <c r="AB72" i="551"/>
  <c r="S102" i="551"/>
  <c r="S129" i="551" s="1"/>
  <c r="T37" i="551" s="1"/>
  <c r="R102" i="551"/>
  <c r="R129" i="551" s="1"/>
  <c r="S37" i="551" s="1"/>
  <c r="T75" i="562"/>
  <c r="Z126" i="562"/>
  <c r="AA34" i="562" s="1"/>
  <c r="AA99" i="562" s="1"/>
  <c r="AA72" i="562"/>
  <c r="U101" i="686"/>
  <c r="U102" i="686"/>
  <c r="AA71" i="551"/>
  <c r="Z125" i="551"/>
  <c r="AA33" i="551" s="1"/>
  <c r="AA98" i="551" s="1"/>
  <c r="R102" i="562"/>
  <c r="R129" i="562" s="1"/>
  <c r="S37" i="562" s="1"/>
  <c r="S102" i="562"/>
  <c r="S129" i="562" s="1"/>
  <c r="T37" i="562" s="1"/>
  <c r="W68" i="565"/>
  <c r="V122" i="565"/>
  <c r="W30" i="565" s="1"/>
  <c r="W95" i="565" s="1"/>
  <c r="S40" i="753"/>
  <c r="S33" i="753"/>
  <c r="S35" i="753"/>
  <c r="Q62" i="551"/>
  <c r="R63" i="562"/>
  <c r="Q117" i="562"/>
  <c r="R25" i="562" s="1"/>
  <c r="R90" i="562" s="1"/>
  <c r="AC127" i="562"/>
  <c r="O54" i="551"/>
  <c r="O53" i="551"/>
  <c r="O57" i="551"/>
  <c r="O59" i="551" s="1"/>
  <c r="L85" i="686"/>
  <c r="L86" i="686" s="1"/>
  <c r="L8" i="411"/>
  <c r="S119" i="551"/>
  <c r="T27" i="551" s="1"/>
  <c r="T92" i="551" s="1"/>
  <c r="T65" i="551"/>
  <c r="T120" i="551"/>
  <c r="U28" i="551" s="1"/>
  <c r="U93" i="551" s="1"/>
  <c r="U66" i="551"/>
  <c r="S159" i="551"/>
  <c r="U55" i="686"/>
  <c r="U56" i="686"/>
  <c r="K9" i="411"/>
  <c r="K10" i="411" s="1"/>
  <c r="K41" i="411"/>
  <c r="S17" i="562" s="1"/>
  <c r="K24" i="411"/>
  <c r="AB127" i="551"/>
  <c r="AC35" i="551" s="1"/>
  <c r="AC100" i="551" s="1"/>
  <c r="AC73" i="551"/>
  <c r="T43" i="686"/>
  <c r="Z43" i="686" s="1"/>
  <c r="Z39" i="686"/>
  <c r="U39" i="686"/>
  <c r="U43" i="686" s="1"/>
  <c r="AB124" i="551"/>
  <c r="AC32" i="551" s="1"/>
  <c r="AC97" i="551" s="1"/>
  <c r="AC70" i="551"/>
  <c r="AC124" i="551" s="1"/>
  <c r="T102" i="551" l="1"/>
  <c r="P49" i="562"/>
  <c r="P89" i="562"/>
  <c r="P116" i="562" s="1"/>
  <c r="Q24" i="562" s="1"/>
  <c r="Q49" i="551"/>
  <c r="Q89" i="551"/>
  <c r="T102" i="565"/>
  <c r="U102" i="562"/>
  <c r="T102" i="562"/>
  <c r="R49" i="565"/>
  <c r="R89" i="565"/>
  <c r="L9" i="411"/>
  <c r="L10" i="411" s="1"/>
  <c r="L41" i="411"/>
  <c r="T17" i="562" s="1"/>
  <c r="L24" i="411"/>
  <c r="N41" i="1"/>
  <c r="V17" i="551" s="1"/>
  <c r="N9" i="1"/>
  <c r="N10" i="1" s="1"/>
  <c r="N24" i="1"/>
  <c r="K24" i="412"/>
  <c r="K9" i="412"/>
  <c r="K10" i="412" s="1"/>
  <c r="K41" i="412"/>
  <c r="S17" i="565" s="1"/>
  <c r="X123" i="551"/>
  <c r="Y31" i="551" s="1"/>
  <c r="Y96" i="551" s="1"/>
  <c r="Y69" i="551"/>
  <c r="Z126" i="565"/>
  <c r="AA34" i="565" s="1"/>
  <c r="AA99" i="565" s="1"/>
  <c r="AA72" i="565"/>
  <c r="R116" i="565"/>
  <c r="S24" i="565" s="1"/>
  <c r="S62" i="565"/>
  <c r="P57" i="551"/>
  <c r="P59" i="551" s="1"/>
  <c r="P54" i="551"/>
  <c r="P53" i="551"/>
  <c r="AC127" i="551"/>
  <c r="AC127" i="565"/>
  <c r="Z124" i="562"/>
  <c r="AA32" i="562" s="1"/>
  <c r="AA97" i="562" s="1"/>
  <c r="AA70" i="562"/>
  <c r="S64" i="565"/>
  <c r="R118" i="565"/>
  <c r="S26" i="565" s="1"/>
  <c r="S91" i="565" s="1"/>
  <c r="Q57" i="565"/>
  <c r="Q59" i="565" s="1"/>
  <c r="Q53" i="565"/>
  <c r="Q54" i="565"/>
  <c r="K16" i="411"/>
  <c r="K26" i="411"/>
  <c r="K25" i="411"/>
  <c r="M26" i="1"/>
  <c r="M25" i="1"/>
  <c r="M16" i="1"/>
  <c r="O44" i="686"/>
  <c r="Y42" i="686"/>
  <c r="AD25" i="753"/>
  <c r="AD39" i="753"/>
  <c r="U75" i="565"/>
  <c r="T129" i="565"/>
  <c r="U37" i="565" s="1"/>
  <c r="W121" i="551"/>
  <c r="X29" i="551" s="1"/>
  <c r="X94" i="551" s="1"/>
  <c r="X67" i="551"/>
  <c r="AB35" i="753"/>
  <c r="AB33" i="753"/>
  <c r="AB40" i="753"/>
  <c r="T19" i="551"/>
  <c r="T156" i="551"/>
  <c r="T175" i="551" s="1"/>
  <c r="AA121" i="565"/>
  <c r="AB29" i="565" s="1"/>
  <c r="AB94" i="565" s="1"/>
  <c r="AB67" i="565"/>
  <c r="S119" i="686"/>
  <c r="R123" i="686"/>
  <c r="S118" i="551"/>
  <c r="T26" i="551" s="1"/>
  <c r="T91" i="551" s="1"/>
  <c r="T64" i="551"/>
  <c r="S19" i="562"/>
  <c r="S156" i="562"/>
  <c r="R117" i="562"/>
  <c r="S25" i="562" s="1"/>
  <c r="S90" i="562" s="1"/>
  <c r="S63" i="562"/>
  <c r="T119" i="551"/>
  <c r="U27" i="551" s="1"/>
  <c r="U92" i="551" s="1"/>
  <c r="U65" i="551"/>
  <c r="U19" i="551"/>
  <c r="U156" i="551"/>
  <c r="U175" i="551" s="1"/>
  <c r="Q116" i="551"/>
  <c r="R24" i="551" s="1"/>
  <c r="R62" i="551"/>
  <c r="W76" i="551"/>
  <c r="V130" i="551"/>
  <c r="T129" i="551"/>
  <c r="U75" i="551"/>
  <c r="AC15" i="753"/>
  <c r="AC14" i="753"/>
  <c r="AC20" i="753"/>
  <c r="AC57" i="753"/>
  <c r="R118" i="562"/>
  <c r="S26" i="562" s="1"/>
  <c r="S91" i="562" s="1"/>
  <c r="S64" i="562"/>
  <c r="Q62" i="562"/>
  <c r="AD27" i="753"/>
  <c r="AD13" i="753" s="1"/>
  <c r="V119" i="565"/>
  <c r="W27" i="565" s="1"/>
  <c r="W92" i="565" s="1"/>
  <c r="W65" i="565"/>
  <c r="T79" i="686"/>
  <c r="S83" i="686"/>
  <c r="O70" i="686"/>
  <c r="P73" i="686"/>
  <c r="L17" i="1"/>
  <c r="L18" i="1" s="1"/>
  <c r="L19" i="1"/>
  <c r="L20" i="1"/>
  <c r="L12" i="1"/>
  <c r="S117" i="565"/>
  <c r="T25" i="565" s="1"/>
  <c r="T90" i="565" s="1"/>
  <c r="T63" i="565"/>
  <c r="Z122" i="562"/>
  <c r="AA30" i="562" s="1"/>
  <c r="AA95" i="562" s="1"/>
  <c r="AA68" i="562"/>
  <c r="AB71" i="562"/>
  <c r="AA125" i="562"/>
  <c r="AB33" i="562" s="1"/>
  <c r="AB98" i="562" s="1"/>
  <c r="Y121" i="562"/>
  <c r="Z29" i="562" s="1"/>
  <c r="Z94" i="562" s="1"/>
  <c r="Z67" i="562"/>
  <c r="V122" i="551"/>
  <c r="W30" i="551" s="1"/>
  <c r="W95" i="551" s="1"/>
  <c r="W68" i="551"/>
  <c r="N71" i="686"/>
  <c r="N72" i="686" s="1"/>
  <c r="N82" i="686"/>
  <c r="N84" i="686" s="1"/>
  <c r="N75" i="686"/>
  <c r="N74" i="686"/>
  <c r="U120" i="551"/>
  <c r="V28" i="551" s="1"/>
  <c r="V93" i="551" s="1"/>
  <c r="V66" i="551"/>
  <c r="AA125" i="551"/>
  <c r="AB33" i="551" s="1"/>
  <c r="AB98" i="551" s="1"/>
  <c r="AB71" i="551"/>
  <c r="W123" i="562"/>
  <c r="X31" i="562" s="1"/>
  <c r="X96" i="562" s="1"/>
  <c r="X69" i="562"/>
  <c r="V120" i="565"/>
  <c r="W28" i="565" s="1"/>
  <c r="W93" i="565" s="1"/>
  <c r="W66" i="565"/>
  <c r="M85" i="686"/>
  <c r="M86" i="686" s="1"/>
  <c r="M8" i="411"/>
  <c r="S119" i="562"/>
  <c r="T27" i="562" s="1"/>
  <c r="T92" i="562" s="1"/>
  <c r="T65" i="562"/>
  <c r="AA125" i="565"/>
  <c r="AB33" i="565" s="1"/>
  <c r="AB98" i="565" s="1"/>
  <c r="AB71" i="565"/>
  <c r="S152" i="551"/>
  <c r="T155" i="551"/>
  <c r="Q117" i="551"/>
  <c r="R25" i="551" s="1"/>
  <c r="R90" i="551" s="1"/>
  <c r="R63" i="551"/>
  <c r="AC74" i="551"/>
  <c r="AC128" i="551" s="1"/>
  <c r="AB128" i="551"/>
  <c r="AC36" i="551" s="1"/>
  <c r="AC101" i="551" s="1"/>
  <c r="W122" i="565"/>
  <c r="X30" i="565" s="1"/>
  <c r="X95" i="565" s="1"/>
  <c r="X68" i="565"/>
  <c r="AA126" i="562"/>
  <c r="AB34" i="562" s="1"/>
  <c r="AB99" i="562" s="1"/>
  <c r="AB72" i="562"/>
  <c r="Q30" i="686"/>
  <c r="R33" i="686"/>
  <c r="X124" i="565"/>
  <c r="Y32" i="565" s="1"/>
  <c r="Y97" i="565" s="1"/>
  <c r="Y70" i="565"/>
  <c r="X123" i="565"/>
  <c r="Y31" i="565" s="1"/>
  <c r="Y96" i="565" s="1"/>
  <c r="Y69" i="565"/>
  <c r="L125" i="686"/>
  <c r="L126" i="686" s="1"/>
  <c r="L8" i="412"/>
  <c r="N110" i="686"/>
  <c r="O113" i="686"/>
  <c r="O57" i="562"/>
  <c r="O59" i="562" s="1"/>
  <c r="O53" i="562"/>
  <c r="O54" i="562"/>
  <c r="M115" i="686"/>
  <c r="M111" i="686"/>
  <c r="M112" i="686" s="1"/>
  <c r="M122" i="686"/>
  <c r="M124" i="686" s="1"/>
  <c r="M114" i="686"/>
  <c r="AB126" i="551"/>
  <c r="AC34" i="551" s="1"/>
  <c r="AC99" i="551" s="1"/>
  <c r="AC72" i="551"/>
  <c r="AC126" i="551" s="1"/>
  <c r="Z120" i="562"/>
  <c r="AA28" i="562" s="1"/>
  <c r="AA93" i="562" s="1"/>
  <c r="AA66" i="562"/>
  <c r="P34" i="686"/>
  <c r="P35" i="686"/>
  <c r="P31" i="686"/>
  <c r="P32" i="686" s="1"/>
  <c r="P42" i="686"/>
  <c r="P44" i="686" s="1"/>
  <c r="T129" i="562"/>
  <c r="U37" i="562" s="1"/>
  <c r="U75" i="562"/>
  <c r="Q49" i="562" l="1"/>
  <c r="Q89" i="562"/>
  <c r="W122" i="551"/>
  <c r="X30" i="551" s="1"/>
  <c r="X95" i="551" s="1"/>
  <c r="X68" i="551"/>
  <c r="R30" i="686"/>
  <c r="S33" i="686"/>
  <c r="M125" i="686"/>
  <c r="M126" i="686" s="1"/>
  <c r="M8" i="412"/>
  <c r="X122" i="565"/>
  <c r="Y30" i="565" s="1"/>
  <c r="Y95" i="565" s="1"/>
  <c r="Y68" i="565"/>
  <c r="U79" i="686"/>
  <c r="U83" i="686" s="1"/>
  <c r="T83" i="686"/>
  <c r="Z83" i="686" s="1"/>
  <c r="Z79" i="686"/>
  <c r="AC34" i="753"/>
  <c r="AC21" i="753"/>
  <c r="Y67" i="551"/>
  <c r="X121" i="551"/>
  <c r="Y29" i="551" s="1"/>
  <c r="Y94" i="551" s="1"/>
  <c r="L9" i="412"/>
  <c r="L10" i="412" s="1"/>
  <c r="L41" i="412"/>
  <c r="T17" i="565" s="1"/>
  <c r="L24" i="412"/>
  <c r="AB66" i="562"/>
  <c r="AA120" i="562"/>
  <c r="AB28" i="562" s="1"/>
  <c r="AB93" i="562" s="1"/>
  <c r="Y124" i="565"/>
  <c r="Z32" i="565" s="1"/>
  <c r="Z97" i="565" s="1"/>
  <c r="Z70" i="565"/>
  <c r="X123" i="562"/>
  <c r="Y31" i="562" s="1"/>
  <c r="Y96" i="562" s="1"/>
  <c r="Y69" i="562"/>
  <c r="AC71" i="562"/>
  <c r="AB125" i="562"/>
  <c r="AC33" i="562" s="1"/>
  <c r="AC98" i="562" s="1"/>
  <c r="V75" i="551"/>
  <c r="S175" i="562"/>
  <c r="S159" i="562"/>
  <c r="R165" i="565"/>
  <c r="R57" i="565"/>
  <c r="R59" i="565" s="1"/>
  <c r="J29" i="412" s="1"/>
  <c r="AA122" i="562"/>
  <c r="AB30" i="562" s="1"/>
  <c r="AB95" i="562" s="1"/>
  <c r="AB68" i="562"/>
  <c r="X65" i="565"/>
  <c r="W119" i="565"/>
  <c r="X27" i="565" s="1"/>
  <c r="X92" i="565" s="1"/>
  <c r="U37" i="551"/>
  <c r="S20" i="562"/>
  <c r="S21" i="562"/>
  <c r="S118" i="565"/>
  <c r="T26" i="565" s="1"/>
  <c r="T91" i="565" s="1"/>
  <c r="T64" i="565"/>
  <c r="S19" i="565"/>
  <c r="S156" i="565"/>
  <c r="AD14" i="753"/>
  <c r="AD15" i="753" s="1"/>
  <c r="AD20" i="753"/>
  <c r="AD57" i="753"/>
  <c r="U129" i="562"/>
  <c r="V75" i="562"/>
  <c r="AB125" i="551"/>
  <c r="AC33" i="551" s="1"/>
  <c r="AC98" i="551" s="1"/>
  <c r="AC71" i="551"/>
  <c r="AC125" i="551" s="1"/>
  <c r="W38" i="551"/>
  <c r="T118" i="551"/>
  <c r="U26" i="551" s="1"/>
  <c r="U91" i="551" s="1"/>
  <c r="U64" i="551"/>
  <c r="V75" i="565"/>
  <c r="AB70" i="562"/>
  <c r="AA124" i="562"/>
  <c r="AB32" i="562" s="1"/>
  <c r="AB97" i="562" s="1"/>
  <c r="V120" i="551"/>
  <c r="W28" i="551" s="1"/>
  <c r="W93" i="551" s="1"/>
  <c r="W66" i="551"/>
  <c r="K16" i="412"/>
  <c r="K26" i="412"/>
  <c r="K25" i="412"/>
  <c r="P113" i="686"/>
  <c r="O110" i="686"/>
  <c r="X76" i="551"/>
  <c r="N114" i="686"/>
  <c r="N115" i="686"/>
  <c r="N111" i="686"/>
  <c r="N112" i="686" s="1"/>
  <c r="N122" i="686"/>
  <c r="N124" i="686" s="1"/>
  <c r="S62" i="551"/>
  <c r="O45" i="686"/>
  <c r="O46" i="686" s="1"/>
  <c r="Y44" i="686"/>
  <c r="O8" i="1"/>
  <c r="N16" i="1"/>
  <c r="N26" i="1"/>
  <c r="N25" i="1"/>
  <c r="Q53" i="551"/>
  <c r="Q57" i="551"/>
  <c r="Q59" i="551" s="1"/>
  <c r="Q54" i="551"/>
  <c r="R117" i="551"/>
  <c r="S25" i="551" s="1"/>
  <c r="S90" i="551" s="1"/>
  <c r="S63" i="551"/>
  <c r="U63" i="565"/>
  <c r="T117" i="565"/>
  <c r="U25" i="565" s="1"/>
  <c r="U90" i="565" s="1"/>
  <c r="P45" i="686"/>
  <c r="P46" i="686" s="1"/>
  <c r="P8" i="1"/>
  <c r="T158" i="551"/>
  <c r="L14" i="1"/>
  <c r="L13" i="1"/>
  <c r="S170" i="551"/>
  <c r="R49" i="551"/>
  <c r="R89" i="551"/>
  <c r="R116" i="551" s="1"/>
  <c r="S24" i="551" s="1"/>
  <c r="Y123" i="565"/>
  <c r="Z31" i="565" s="1"/>
  <c r="Z96" i="565" s="1"/>
  <c r="Z69" i="565"/>
  <c r="AB125" i="565"/>
  <c r="AC33" i="565" s="1"/>
  <c r="AC98" i="565" s="1"/>
  <c r="AC71" i="565"/>
  <c r="AC125" i="565" s="1"/>
  <c r="Q116" i="562"/>
  <c r="R24" i="562" s="1"/>
  <c r="R62" i="562"/>
  <c r="S123" i="686"/>
  <c r="T119" i="686"/>
  <c r="M17" i="1"/>
  <c r="M18" i="1" s="1"/>
  <c r="M19" i="1"/>
  <c r="M20" i="1"/>
  <c r="M12" i="1"/>
  <c r="N85" i="686"/>
  <c r="N86" i="686" s="1"/>
  <c r="N8" i="411"/>
  <c r="AB121" i="565"/>
  <c r="AC29" i="565" s="1"/>
  <c r="AC94" i="565" s="1"/>
  <c r="AC67" i="565"/>
  <c r="AC121" i="565" s="1"/>
  <c r="V19" i="551"/>
  <c r="V156" i="551"/>
  <c r="V175" i="551" s="1"/>
  <c r="P57" i="562"/>
  <c r="P59" i="562" s="1"/>
  <c r="P53" i="562"/>
  <c r="P54" i="562"/>
  <c r="U119" i="551"/>
  <c r="V27" i="551" s="1"/>
  <c r="V92" i="551" s="1"/>
  <c r="V65" i="551"/>
  <c r="T62" i="565"/>
  <c r="S118" i="562"/>
  <c r="T26" i="562" s="1"/>
  <c r="T91" i="562" s="1"/>
  <c r="T64" i="562"/>
  <c r="T20" i="551"/>
  <c r="U20" i="551" s="1"/>
  <c r="V20" i="551" s="1"/>
  <c r="S89" i="565"/>
  <c r="S116" i="565" s="1"/>
  <c r="T24" i="565" s="1"/>
  <c r="U65" i="562"/>
  <c r="T119" i="562"/>
  <c r="U27" i="562" s="1"/>
  <c r="U92" i="562" s="1"/>
  <c r="P70" i="686"/>
  <c r="Q73" i="686"/>
  <c r="K17" i="411"/>
  <c r="K18" i="411" s="1"/>
  <c r="K19" i="411"/>
  <c r="K51" i="411"/>
  <c r="K20" i="411"/>
  <c r="K58" i="411"/>
  <c r="K59" i="411" s="1"/>
  <c r="K12" i="411"/>
  <c r="AA126" i="565"/>
  <c r="AB34" i="565" s="1"/>
  <c r="AB99" i="565" s="1"/>
  <c r="AB72" i="565"/>
  <c r="L26" i="411"/>
  <c r="L25" i="411"/>
  <c r="L16" i="411"/>
  <c r="U102" i="565"/>
  <c r="U129" i="565" s="1"/>
  <c r="V37" i="565" s="1"/>
  <c r="M9" i="411"/>
  <c r="M10" i="411" s="1"/>
  <c r="M41" i="411"/>
  <c r="U17" i="562" s="1"/>
  <c r="M24" i="411"/>
  <c r="Q34" i="686"/>
  <c r="Q35" i="686"/>
  <c r="Q42" i="686"/>
  <c r="Q44" i="686" s="1"/>
  <c r="Q31" i="686"/>
  <c r="Q32" i="686" s="1"/>
  <c r="AA67" i="562"/>
  <c r="Z121" i="562"/>
  <c r="AA29" i="562" s="1"/>
  <c r="AA94" i="562" s="1"/>
  <c r="AB126" i="562"/>
  <c r="AC34" i="562" s="1"/>
  <c r="AC99" i="562" s="1"/>
  <c r="AC72" i="562"/>
  <c r="AC126" i="562" s="1"/>
  <c r="O75" i="686"/>
  <c r="O71" i="686"/>
  <c r="O72" i="686" s="1"/>
  <c r="Y70" i="686"/>
  <c r="O82" i="686"/>
  <c r="O74" i="686"/>
  <c r="T19" i="562"/>
  <c r="T156" i="562"/>
  <c r="T175" i="562" s="1"/>
  <c r="X66" i="565"/>
  <c r="W120" i="565"/>
  <c r="X28" i="565" s="1"/>
  <c r="X93" i="565" s="1"/>
  <c r="T63" i="562"/>
  <c r="S117" i="562"/>
  <c r="T25" i="562" s="1"/>
  <c r="T90" i="562" s="1"/>
  <c r="Y123" i="551"/>
  <c r="Z31" i="551" s="1"/>
  <c r="Z96" i="551" s="1"/>
  <c r="Z69" i="551"/>
  <c r="AD34" i="753" l="1"/>
  <c r="AD21" i="753"/>
  <c r="V102" i="565"/>
  <c r="S49" i="551"/>
  <c r="S89" i="551"/>
  <c r="T89" i="565"/>
  <c r="T116" i="565" s="1"/>
  <c r="U24" i="565" s="1"/>
  <c r="X119" i="565"/>
  <c r="Y27" i="565" s="1"/>
  <c r="Y92" i="565" s="1"/>
  <c r="Y65" i="565"/>
  <c r="T20" i="562"/>
  <c r="T21" i="562"/>
  <c r="T77" i="562" s="1"/>
  <c r="Y123" i="562"/>
  <c r="Z31" i="562" s="1"/>
  <c r="Z96" i="562" s="1"/>
  <c r="Z69" i="562"/>
  <c r="T117" i="562"/>
  <c r="U25" i="562" s="1"/>
  <c r="U90" i="562" s="1"/>
  <c r="U63" i="562"/>
  <c r="Q45" i="686"/>
  <c r="Q46" i="686" s="1"/>
  <c r="Q8" i="1"/>
  <c r="U62" i="565"/>
  <c r="L17" i="411"/>
  <c r="L18" i="411" s="1"/>
  <c r="L19" i="411"/>
  <c r="L20" i="411"/>
  <c r="L12" i="411"/>
  <c r="M13" i="1"/>
  <c r="M14" i="1"/>
  <c r="R165" i="551"/>
  <c r="R57" i="551"/>
  <c r="R59" i="551" s="1"/>
  <c r="J29" i="1" s="1"/>
  <c r="Y76" i="551"/>
  <c r="U118" i="551"/>
  <c r="V26" i="551" s="1"/>
  <c r="V91" i="551" s="1"/>
  <c r="V64" i="551"/>
  <c r="U102" i="551"/>
  <c r="U129" i="551" s="1"/>
  <c r="V37" i="551" s="1"/>
  <c r="V102" i="551"/>
  <c r="V129" i="551" s="1"/>
  <c r="W37" i="551" s="1"/>
  <c r="AA70" i="565"/>
  <c r="Z124" i="565"/>
  <c r="AA32" i="565" s="1"/>
  <c r="AA97" i="565" s="1"/>
  <c r="O114" i="686"/>
  <c r="O115" i="686"/>
  <c r="O111" i="686"/>
  <c r="O112" i="686" s="1"/>
  <c r="Y110" i="686"/>
  <c r="O122" i="686"/>
  <c r="V129" i="565"/>
  <c r="W75" i="565"/>
  <c r="S76" i="562"/>
  <c r="S153" i="562"/>
  <c r="X120" i="565"/>
  <c r="Y28" i="565" s="1"/>
  <c r="Y93" i="565" s="1"/>
  <c r="Y66" i="565"/>
  <c r="V119" i="551"/>
  <c r="W27" i="551" s="1"/>
  <c r="W92" i="551" s="1"/>
  <c r="W65" i="551"/>
  <c r="Y122" i="565"/>
  <c r="Z30" i="565" s="1"/>
  <c r="Z95" i="565" s="1"/>
  <c r="Z68" i="565"/>
  <c r="N17" i="1"/>
  <c r="N18" i="1" s="1"/>
  <c r="N19" i="1"/>
  <c r="N20" i="1"/>
  <c r="N12" i="1"/>
  <c r="Q113" i="686"/>
  <c r="P110" i="686"/>
  <c r="AC68" i="562"/>
  <c r="AB122" i="562"/>
  <c r="AC30" i="562" s="1"/>
  <c r="AC95" i="562" s="1"/>
  <c r="AB120" i="562"/>
  <c r="AC28" i="562" s="1"/>
  <c r="AC93" i="562" s="1"/>
  <c r="AC66" i="562"/>
  <c r="M24" i="412"/>
  <c r="M9" i="412"/>
  <c r="M10" i="412" s="1"/>
  <c r="M41" i="412"/>
  <c r="U17" i="565" s="1"/>
  <c r="S30" i="686"/>
  <c r="T33" i="686"/>
  <c r="U19" i="562"/>
  <c r="U156" i="562"/>
  <c r="U175" i="562" s="1"/>
  <c r="Y82" i="686"/>
  <c r="O84" i="686"/>
  <c r="V37" i="562"/>
  <c r="J34" i="412"/>
  <c r="J30" i="412"/>
  <c r="L25" i="412"/>
  <c r="L26" i="412"/>
  <c r="L16" i="412"/>
  <c r="R31" i="686"/>
  <c r="R32" i="686" s="1"/>
  <c r="R34" i="686"/>
  <c r="R35" i="686"/>
  <c r="R42" i="686"/>
  <c r="R44" i="686" s="1"/>
  <c r="M26" i="411"/>
  <c r="M25" i="411"/>
  <c r="M16" i="411"/>
  <c r="Q70" i="686"/>
  <c r="R73" i="686"/>
  <c r="O24" i="1"/>
  <c r="O41" i="1"/>
  <c r="W17" i="551" s="1"/>
  <c r="O9" i="1"/>
  <c r="O10" i="1" s="1"/>
  <c r="P75" i="686"/>
  <c r="P71" i="686"/>
  <c r="P72" i="686" s="1"/>
  <c r="P82" i="686"/>
  <c r="P84" i="686" s="1"/>
  <c r="P74" i="686"/>
  <c r="W75" i="562"/>
  <c r="T159" i="551"/>
  <c r="U119" i="562"/>
  <c r="V27" i="562" s="1"/>
  <c r="V92" i="562" s="1"/>
  <c r="V65" i="562"/>
  <c r="T123" i="686"/>
  <c r="Z123" i="686" s="1"/>
  <c r="Z119" i="686"/>
  <c r="U119" i="686"/>
  <c r="U123" i="686" s="1"/>
  <c r="P41" i="1"/>
  <c r="X17" i="551" s="1"/>
  <c r="P9" i="1"/>
  <c r="P10" i="1" s="1"/>
  <c r="K19" i="412"/>
  <c r="K51" i="412"/>
  <c r="K58" i="412" s="1"/>
  <c r="K59" i="412" s="1"/>
  <c r="K20" i="412"/>
  <c r="K17" i="412"/>
  <c r="K18" i="412" s="1"/>
  <c r="K12" i="412"/>
  <c r="R177" i="565"/>
  <c r="R167" i="565"/>
  <c r="R191" i="565"/>
  <c r="R192" i="565"/>
  <c r="T19" i="565"/>
  <c r="T156" i="565"/>
  <c r="T175" i="565" s="1"/>
  <c r="X122" i="551"/>
  <c r="Y30" i="551" s="1"/>
  <c r="Y95" i="551" s="1"/>
  <c r="Y68" i="551"/>
  <c r="W103" i="551"/>
  <c r="W130" i="551" s="1"/>
  <c r="X38" i="551" s="1"/>
  <c r="S152" i="562"/>
  <c r="T155" i="562"/>
  <c r="V21" i="551"/>
  <c r="V79" i="551" s="1"/>
  <c r="S62" i="562"/>
  <c r="R116" i="562"/>
  <c r="S24" i="562" s="1"/>
  <c r="S116" i="551"/>
  <c r="T24" i="551" s="1"/>
  <c r="T62" i="551"/>
  <c r="U21" i="551"/>
  <c r="U78" i="551" s="1"/>
  <c r="V63" i="565"/>
  <c r="U117" i="565"/>
  <c r="V25" i="565" s="1"/>
  <c r="V90" i="565" s="1"/>
  <c r="S175" i="565"/>
  <c r="S159" i="565"/>
  <c r="W75" i="551"/>
  <c r="Z67" i="551"/>
  <c r="Y121" i="551"/>
  <c r="Z29" i="551" s="1"/>
  <c r="Z94" i="551" s="1"/>
  <c r="S117" i="551"/>
  <c r="T25" i="551" s="1"/>
  <c r="T90" i="551" s="1"/>
  <c r="T63" i="551"/>
  <c r="N125" i="686"/>
  <c r="N126" i="686" s="1"/>
  <c r="N8" i="412"/>
  <c r="S21" i="565"/>
  <c r="S20" i="565"/>
  <c r="T118" i="565"/>
  <c r="U26" i="565" s="1"/>
  <c r="U91" i="565" s="1"/>
  <c r="U64" i="565"/>
  <c r="AC35" i="753"/>
  <c r="AC33" i="753"/>
  <c r="AC40" i="753"/>
  <c r="Q53" i="562"/>
  <c r="Q57" i="562"/>
  <c r="Q59" i="562" s="1"/>
  <c r="Q54" i="562"/>
  <c r="W120" i="551"/>
  <c r="X28" i="551" s="1"/>
  <c r="X93" i="551" s="1"/>
  <c r="X66" i="551"/>
  <c r="R49" i="562"/>
  <c r="R89" i="562"/>
  <c r="AB126" i="565"/>
  <c r="AC34" i="565" s="1"/>
  <c r="AC99" i="565" s="1"/>
  <c r="AC72" i="565"/>
  <c r="AC126" i="565" s="1"/>
  <c r="T21" i="551"/>
  <c r="Z123" i="551"/>
  <c r="AA31" i="551" s="1"/>
  <c r="AA96" i="551" s="1"/>
  <c r="AA69" i="551"/>
  <c r="N9" i="411"/>
  <c r="N10" i="411" s="1"/>
  <c r="N41" i="411"/>
  <c r="V17" i="562" s="1"/>
  <c r="N24" i="411"/>
  <c r="AA121" i="562"/>
  <c r="AB29" i="562" s="1"/>
  <c r="AB94" i="562" s="1"/>
  <c r="AB67" i="562"/>
  <c r="K14" i="411"/>
  <c r="K13" i="411"/>
  <c r="U64" i="562"/>
  <c r="T118" i="562"/>
  <c r="U26" i="562" s="1"/>
  <c r="U91" i="562" s="1"/>
  <c r="Z123" i="565"/>
  <c r="AA31" i="565" s="1"/>
  <c r="AA96" i="565" s="1"/>
  <c r="AA69" i="565"/>
  <c r="AB124" i="562"/>
  <c r="AC32" i="562" s="1"/>
  <c r="AC97" i="562" s="1"/>
  <c r="AC70" i="562"/>
  <c r="AC124" i="562" s="1"/>
  <c r="AC125" i="562"/>
  <c r="W102" i="551" l="1"/>
  <c r="W129" i="551" s="1"/>
  <c r="X37" i="551" s="1"/>
  <c r="U89" i="565"/>
  <c r="W19" i="551"/>
  <c r="W156" i="551"/>
  <c r="W175" i="551" s="1"/>
  <c r="N24" i="412"/>
  <c r="N9" i="412"/>
  <c r="N10" i="412" s="1"/>
  <c r="N41" i="412"/>
  <c r="V17" i="565" s="1"/>
  <c r="O26" i="1"/>
  <c r="O16" i="1"/>
  <c r="O25" i="1"/>
  <c r="V102" i="562"/>
  <c r="V129" i="562" s="1"/>
  <c r="W37" i="562" s="1"/>
  <c r="W102" i="562"/>
  <c r="AC122" i="562"/>
  <c r="T153" i="562"/>
  <c r="S76" i="565"/>
  <c r="S153" i="565"/>
  <c r="U118" i="562"/>
  <c r="V26" i="562" s="1"/>
  <c r="V91" i="562" s="1"/>
  <c r="V64" i="562"/>
  <c r="R57" i="562"/>
  <c r="R59" i="562" s="1"/>
  <c r="J29" i="411" s="1"/>
  <c r="R165" i="562"/>
  <c r="T117" i="551"/>
  <c r="U25" i="551" s="1"/>
  <c r="U90" i="551" s="1"/>
  <c r="U63" i="551"/>
  <c r="R162" i="565"/>
  <c r="R171" i="565" s="1"/>
  <c r="R172" i="565" s="1"/>
  <c r="S164" i="565"/>
  <c r="R70" i="686"/>
  <c r="S73" i="686"/>
  <c r="O85" i="686"/>
  <c r="O86" i="686" s="1"/>
  <c r="Y84" i="686"/>
  <c r="O8" i="411"/>
  <c r="P114" i="686"/>
  <c r="P115" i="686"/>
  <c r="P111" i="686"/>
  <c r="P112" i="686" s="1"/>
  <c r="P122" i="686"/>
  <c r="P124" i="686" s="1"/>
  <c r="T76" i="562"/>
  <c r="S38" i="562"/>
  <c r="X19" i="551"/>
  <c r="X156" i="551"/>
  <c r="X175" i="551" s="1"/>
  <c r="T159" i="562"/>
  <c r="T158" i="562"/>
  <c r="V119" i="562"/>
  <c r="W27" i="562" s="1"/>
  <c r="W92" i="562" s="1"/>
  <c r="W65" i="562"/>
  <c r="Q74" i="686"/>
  <c r="Q75" i="686"/>
  <c r="Q71" i="686"/>
  <c r="Q72" i="686" s="1"/>
  <c r="Q82" i="686"/>
  <c r="Q84" i="686" s="1"/>
  <c r="Q110" i="686"/>
  <c r="R113" i="686"/>
  <c r="X75" i="565"/>
  <c r="T62" i="562"/>
  <c r="W79" i="551"/>
  <c r="V41" i="551"/>
  <c r="X120" i="551"/>
  <c r="Y28" i="551" s="1"/>
  <c r="Y93" i="551" s="1"/>
  <c r="Y66" i="551"/>
  <c r="S170" i="562"/>
  <c r="K13" i="412"/>
  <c r="K14" i="412"/>
  <c r="M17" i="411"/>
  <c r="M18" i="411" s="1"/>
  <c r="M19" i="411"/>
  <c r="M20" i="411"/>
  <c r="M12" i="411"/>
  <c r="N13" i="1"/>
  <c r="N14" i="1"/>
  <c r="W37" i="565"/>
  <c r="S165" i="551"/>
  <c r="S57" i="551"/>
  <c r="S59" i="551" s="1"/>
  <c r="K29" i="1" s="1"/>
  <c r="AA123" i="565"/>
  <c r="AB31" i="565" s="1"/>
  <c r="AB96" i="565" s="1"/>
  <c r="AB69" i="565"/>
  <c r="T152" i="551"/>
  <c r="U155" i="551"/>
  <c r="O124" i="686"/>
  <c r="Y122" i="686"/>
  <c r="V118" i="551"/>
  <c r="W26" i="551" s="1"/>
  <c r="W91" i="551" s="1"/>
  <c r="W64" i="551"/>
  <c r="U116" i="565"/>
  <c r="V24" i="565" s="1"/>
  <c r="V62" i="565"/>
  <c r="AB121" i="562"/>
  <c r="AC29" i="562" s="1"/>
  <c r="AC94" i="562" s="1"/>
  <c r="AC67" i="562"/>
  <c r="AC121" i="562" s="1"/>
  <c r="Z121" i="551"/>
  <c r="AA29" i="551" s="1"/>
  <c r="AA94" i="551" s="1"/>
  <c r="AA67" i="551"/>
  <c r="X75" i="551"/>
  <c r="Y103" i="551"/>
  <c r="U21" i="562"/>
  <c r="U78" i="562" s="1"/>
  <c r="Z76" i="551"/>
  <c r="Y130" i="551"/>
  <c r="Z38" i="551" s="1"/>
  <c r="Z103" i="551" s="1"/>
  <c r="Q41" i="1"/>
  <c r="Y17" i="551" s="1"/>
  <c r="Q9" i="1"/>
  <c r="Q10" i="1" s="1"/>
  <c r="Z66" i="565"/>
  <c r="Y120" i="565"/>
  <c r="Z28" i="565" s="1"/>
  <c r="Z93" i="565" s="1"/>
  <c r="S152" i="565"/>
  <c r="T155" i="565"/>
  <c r="R45" i="686"/>
  <c r="R46" i="686" s="1"/>
  <c r="R8" i="1"/>
  <c r="S42" i="686"/>
  <c r="S44" i="686" s="1"/>
  <c r="S31" i="686"/>
  <c r="S32" i="686" s="1"/>
  <c r="S34" i="686"/>
  <c r="S35" i="686"/>
  <c r="BK69" i="2"/>
  <c r="J34" i="1"/>
  <c r="J30" i="1"/>
  <c r="V63" i="562"/>
  <c r="U117" i="562"/>
  <c r="V25" i="562" s="1"/>
  <c r="V90" i="562" s="1"/>
  <c r="S49" i="562"/>
  <c r="S89" i="562"/>
  <c r="S116" i="562" s="1"/>
  <c r="T24" i="562" s="1"/>
  <c r="N16" i="411"/>
  <c r="N26" i="411"/>
  <c r="N25" i="411"/>
  <c r="T30" i="686"/>
  <c r="U33" i="686"/>
  <c r="U30" i="686" s="1"/>
  <c r="V19" i="562"/>
  <c r="V156" i="562"/>
  <c r="V175" i="562" s="1"/>
  <c r="P85" i="686"/>
  <c r="P86" i="686" s="1"/>
  <c r="P8" i="411"/>
  <c r="R177" i="551"/>
  <c r="R167" i="551"/>
  <c r="R191" i="551"/>
  <c r="R192" i="551"/>
  <c r="T20" i="565"/>
  <c r="T21" i="565" s="1"/>
  <c r="T77" i="565" s="1"/>
  <c r="V117" i="565"/>
  <c r="W25" i="565" s="1"/>
  <c r="W90" i="565" s="1"/>
  <c r="W63" i="565"/>
  <c r="X103" i="551"/>
  <c r="X130" i="551" s="1"/>
  <c r="Y38" i="551" s="1"/>
  <c r="Z122" i="565"/>
  <c r="AA30" i="565" s="1"/>
  <c r="AA95" i="565" s="1"/>
  <c r="AA68" i="565"/>
  <c r="AA124" i="565"/>
  <c r="AB32" i="565" s="1"/>
  <c r="AB97" i="565" s="1"/>
  <c r="AB70" i="565"/>
  <c r="Z123" i="562"/>
  <c r="AA31" i="562" s="1"/>
  <c r="AA96" i="562" s="1"/>
  <c r="AA69" i="562"/>
  <c r="U19" i="565"/>
  <c r="U156" i="565"/>
  <c r="U175" i="565" s="1"/>
  <c r="AB69" i="551"/>
  <c r="AA123" i="551"/>
  <c r="AB31" i="551" s="1"/>
  <c r="AB96" i="551" s="1"/>
  <c r="U118" i="565"/>
  <c r="V26" i="565" s="1"/>
  <c r="V91" i="565" s="1"/>
  <c r="V64" i="565"/>
  <c r="V78" i="551"/>
  <c r="U40" i="551"/>
  <c r="Y122" i="551"/>
  <c r="Z30" i="551" s="1"/>
  <c r="Z95" i="551" s="1"/>
  <c r="Z68" i="551"/>
  <c r="L19" i="412"/>
  <c r="L20" i="412"/>
  <c r="L17" i="412"/>
  <c r="L18" i="412" s="1"/>
  <c r="L12" i="412"/>
  <c r="J31" i="412"/>
  <c r="J44" i="412"/>
  <c r="J32" i="412"/>
  <c r="J37" i="412"/>
  <c r="M16" i="412"/>
  <c r="M26" i="412"/>
  <c r="M25" i="412"/>
  <c r="L14" i="411"/>
  <c r="L13" i="411"/>
  <c r="T39" i="562"/>
  <c r="U77" i="562"/>
  <c r="W129" i="562"/>
  <c r="X37" i="562" s="1"/>
  <c r="X102" i="562" s="1"/>
  <c r="X75" i="562"/>
  <c r="T116" i="551"/>
  <c r="U24" i="551" s="1"/>
  <c r="U62" i="551"/>
  <c r="W119" i="551"/>
  <c r="X27" i="551" s="1"/>
  <c r="X92" i="551" s="1"/>
  <c r="X65" i="551"/>
  <c r="T77" i="551"/>
  <c r="T153" i="551"/>
  <c r="T89" i="551"/>
  <c r="P24" i="1"/>
  <c r="AC120" i="562"/>
  <c r="U20" i="562"/>
  <c r="V20" i="562" s="1"/>
  <c r="AD35" i="753"/>
  <c r="AD33" i="753"/>
  <c r="AD40" i="753"/>
  <c r="Z65" i="565"/>
  <c r="Y119" i="565"/>
  <c r="Z27" i="565" s="1"/>
  <c r="Z92" i="565" s="1"/>
  <c r="X102" i="551" l="1"/>
  <c r="T89" i="562"/>
  <c r="T39" i="565"/>
  <c r="U77" i="565"/>
  <c r="J31" i="1"/>
  <c r="J44" i="1"/>
  <c r="J32" i="1"/>
  <c r="J37" i="1"/>
  <c r="Y19" i="551"/>
  <c r="Y156" i="551"/>
  <c r="Y175" i="551" s="1"/>
  <c r="R110" i="686"/>
  <c r="S113" i="686"/>
  <c r="T153" i="565"/>
  <c r="V19" i="565"/>
  <c r="V156" i="565"/>
  <c r="V175" i="565" s="1"/>
  <c r="V77" i="562"/>
  <c r="AA123" i="562"/>
  <c r="AB31" i="562" s="1"/>
  <c r="AB96" i="562" s="1"/>
  <c r="AB69" i="562"/>
  <c r="P9" i="411"/>
  <c r="P10" i="411" s="1"/>
  <c r="P41" i="411"/>
  <c r="X17" i="562" s="1"/>
  <c r="P24" i="411"/>
  <c r="Q114" i="686"/>
  <c r="Q115" i="686"/>
  <c r="Q111" i="686"/>
  <c r="Q112" i="686" s="1"/>
  <c r="Q122" i="686"/>
  <c r="Q124" i="686" s="1"/>
  <c r="S38" i="565"/>
  <c r="T76" i="565"/>
  <c r="AB124" i="565"/>
  <c r="AC32" i="565" s="1"/>
  <c r="AC97" i="565" s="1"/>
  <c r="AC70" i="565"/>
  <c r="AC124" i="565" s="1"/>
  <c r="Z130" i="551"/>
  <c r="AA38" i="551" s="1"/>
  <c r="AA103" i="551" s="1"/>
  <c r="AA76" i="551"/>
  <c r="U158" i="551"/>
  <c r="U159" i="551" s="1"/>
  <c r="O24" i="411"/>
  <c r="O9" i="411"/>
  <c r="O10" i="411" s="1"/>
  <c r="O41" i="411"/>
  <c r="W17" i="562" s="1"/>
  <c r="U153" i="562"/>
  <c r="N16" i="412"/>
  <c r="N26" i="412"/>
  <c r="N25" i="412"/>
  <c r="U40" i="562"/>
  <c r="V78" i="562"/>
  <c r="W20" i="551"/>
  <c r="X20" i="551" s="1"/>
  <c r="Y20" i="551" s="1"/>
  <c r="O125" i="686"/>
  <c r="O126" i="686" s="1"/>
  <c r="Y124" i="686"/>
  <c r="O8" i="412"/>
  <c r="Q85" i="686"/>
  <c r="Q86" i="686" s="1"/>
  <c r="Q8" i="411"/>
  <c r="T104" i="562"/>
  <c r="T131" i="562" s="1"/>
  <c r="U39" i="562" s="1"/>
  <c r="U104" i="562"/>
  <c r="U131" i="562" s="1"/>
  <c r="V39" i="562" s="1"/>
  <c r="T170" i="551"/>
  <c r="AB68" i="565"/>
  <c r="AA122" i="565"/>
  <c r="AB30" i="565" s="1"/>
  <c r="AB95" i="565" s="1"/>
  <c r="P26" i="1"/>
  <c r="P25" i="1"/>
  <c r="P16" i="1"/>
  <c r="Z122" i="551"/>
  <c r="AA30" i="551" s="1"/>
  <c r="AA95" i="551" s="1"/>
  <c r="AA68" i="551"/>
  <c r="V21" i="562"/>
  <c r="V79" i="562" s="1"/>
  <c r="X129" i="551"/>
  <c r="Y75" i="551"/>
  <c r="S70" i="686"/>
  <c r="T73" i="686"/>
  <c r="AC46" i="753"/>
  <c r="K34" i="1"/>
  <c r="K30" i="1"/>
  <c r="Y120" i="551"/>
  <c r="Z28" i="551" s="1"/>
  <c r="Z93" i="551" s="1"/>
  <c r="Z66" i="551"/>
  <c r="S46" i="753"/>
  <c r="BL69" i="2"/>
  <c r="CH69" i="2"/>
  <c r="BK70" i="2"/>
  <c r="AB123" i="565"/>
  <c r="AC31" i="565" s="1"/>
  <c r="AC96" i="565" s="1"/>
  <c r="AC69" i="565"/>
  <c r="S45" i="686"/>
  <c r="S46" i="686" s="1"/>
  <c r="S8" i="1"/>
  <c r="W119" i="562"/>
  <c r="X27" i="562" s="1"/>
  <c r="X92" i="562" s="1"/>
  <c r="X65" i="562"/>
  <c r="U42" i="686"/>
  <c r="U44" i="686" s="1"/>
  <c r="U31" i="686"/>
  <c r="U32" i="686" s="1"/>
  <c r="U35" i="686"/>
  <c r="U34" i="686"/>
  <c r="R24" i="1"/>
  <c r="R41" i="1"/>
  <c r="Z17" i="551" s="1"/>
  <c r="R9" i="1"/>
  <c r="R10" i="1" s="1"/>
  <c r="R74" i="686"/>
  <c r="R75" i="686"/>
  <c r="R71" i="686"/>
  <c r="R72" i="686" s="1"/>
  <c r="R82" i="686"/>
  <c r="R84" i="686" s="1"/>
  <c r="M19" i="412"/>
  <c r="M20" i="412"/>
  <c r="M17" i="412"/>
  <c r="M18" i="412" s="1"/>
  <c r="M12" i="412"/>
  <c r="U105" i="551"/>
  <c r="U132" i="551" s="1"/>
  <c r="V40" i="551" s="1"/>
  <c r="W117" i="565"/>
  <c r="X25" i="565" s="1"/>
  <c r="X90" i="565" s="1"/>
  <c r="X63" i="565"/>
  <c r="T42" i="686"/>
  <c r="Z30" i="686"/>
  <c r="T31" i="686"/>
  <c r="T32" i="686" s="1"/>
  <c r="T34" i="686"/>
  <c r="T35" i="686"/>
  <c r="S177" i="551"/>
  <c r="S192" i="551"/>
  <c r="S191" i="551"/>
  <c r="S166" i="565"/>
  <c r="U153" i="551"/>
  <c r="T158" i="565"/>
  <c r="AA121" i="551"/>
  <c r="AB29" i="551" s="1"/>
  <c r="AB94" i="551" s="1"/>
  <c r="AB67" i="551"/>
  <c r="W102" i="565"/>
  <c r="W129" i="565" s="1"/>
  <c r="X37" i="565" s="1"/>
  <c r="X102" i="565" s="1"/>
  <c r="X129" i="565" s="1"/>
  <c r="Y37" i="565" s="1"/>
  <c r="Y102" i="565" s="1"/>
  <c r="V106" i="551"/>
  <c r="V133" i="551" s="1"/>
  <c r="W41" i="551" s="1"/>
  <c r="W106" i="551" s="1"/>
  <c r="W133" i="551" s="1"/>
  <c r="X41" i="551" s="1"/>
  <c r="T152" i="562"/>
  <c r="U155" i="562"/>
  <c r="R179" i="565"/>
  <c r="R178" i="565" s="1"/>
  <c r="R193" i="565"/>
  <c r="S174" i="565"/>
  <c r="T39" i="551"/>
  <c r="U77" i="551"/>
  <c r="J38" i="412"/>
  <c r="J39" i="412"/>
  <c r="W78" i="551"/>
  <c r="S170" i="565"/>
  <c r="X79" i="551"/>
  <c r="U117" i="551"/>
  <c r="V25" i="551" s="1"/>
  <c r="V90" i="551" s="1"/>
  <c r="V63" i="551"/>
  <c r="X119" i="551"/>
  <c r="Y27" i="551" s="1"/>
  <c r="Y92" i="551" s="1"/>
  <c r="Y65" i="551"/>
  <c r="U20" i="565"/>
  <c r="V20" i="565" s="1"/>
  <c r="W64" i="565"/>
  <c r="V118" i="565"/>
  <c r="W26" i="565" s="1"/>
  <c r="W91" i="565" s="1"/>
  <c r="J45" i="412"/>
  <c r="J46" i="412"/>
  <c r="J54" i="412"/>
  <c r="AA66" i="565"/>
  <c r="Z120" i="565"/>
  <c r="AA28" i="565" s="1"/>
  <c r="AA93" i="565" s="1"/>
  <c r="M14" i="411"/>
  <c r="M13" i="411"/>
  <c r="T116" i="562"/>
  <c r="U24" i="562" s="1"/>
  <c r="U62" i="562"/>
  <c r="R177" i="562"/>
  <c r="R167" i="562"/>
  <c r="R192" i="562"/>
  <c r="R191" i="562"/>
  <c r="S57" i="562"/>
  <c r="S59" i="562" s="1"/>
  <c r="K29" i="411" s="1"/>
  <c r="S165" i="562"/>
  <c r="W62" i="565"/>
  <c r="T103" i="562"/>
  <c r="T130" i="562" s="1"/>
  <c r="U38" i="562" s="1"/>
  <c r="S103" i="562"/>
  <c r="S130" i="562" s="1"/>
  <c r="T38" i="562" s="1"/>
  <c r="J34" i="411"/>
  <c r="J30" i="411"/>
  <c r="U89" i="551"/>
  <c r="AC69" i="551"/>
  <c r="AB123" i="551"/>
  <c r="AC31" i="551" s="1"/>
  <c r="AC96" i="551" s="1"/>
  <c r="S164" i="551"/>
  <c r="R162" i="551"/>
  <c r="R171" i="551" s="1"/>
  <c r="R172" i="551" s="1"/>
  <c r="Q24" i="1"/>
  <c r="V89" i="565"/>
  <c r="V116" i="565" s="1"/>
  <c r="W24" i="565" s="1"/>
  <c r="U76" i="562"/>
  <c r="V118" i="562"/>
  <c r="W26" i="562" s="1"/>
  <c r="W91" i="562" s="1"/>
  <c r="W64" i="562"/>
  <c r="O17" i="1"/>
  <c r="O18" i="1" s="1"/>
  <c r="O19" i="1"/>
  <c r="O20" i="1"/>
  <c r="O12" i="1"/>
  <c r="N17" i="411"/>
  <c r="N18" i="411" s="1"/>
  <c r="N19" i="411"/>
  <c r="N20" i="411"/>
  <c r="N12" i="411"/>
  <c r="U116" i="551"/>
  <c r="V24" i="551" s="1"/>
  <c r="V62" i="551"/>
  <c r="Z119" i="565"/>
  <c r="AA27" i="565" s="1"/>
  <c r="AA92" i="565" s="1"/>
  <c r="AA65" i="565"/>
  <c r="X129" i="562"/>
  <c r="Y75" i="562"/>
  <c r="L13" i="412"/>
  <c r="L14" i="412"/>
  <c r="V117" i="562"/>
  <c r="W25" i="562" s="1"/>
  <c r="W90" i="562" s="1"/>
  <c r="W63" i="562"/>
  <c r="W118" i="551"/>
  <c r="X26" i="551" s="1"/>
  <c r="X91" i="551" s="1"/>
  <c r="X64" i="551"/>
  <c r="Y75" i="565"/>
  <c r="P125" i="686"/>
  <c r="P126" i="686" s="1"/>
  <c r="P8" i="412"/>
  <c r="V104" i="562" l="1"/>
  <c r="U152" i="551"/>
  <c r="V155" i="551"/>
  <c r="W89" i="565"/>
  <c r="U103" i="562"/>
  <c r="U130" i="562" s="1"/>
  <c r="V38" i="562" s="1"/>
  <c r="V77" i="551"/>
  <c r="S45" i="753"/>
  <c r="AB46" i="753"/>
  <c r="Z75" i="562"/>
  <c r="Y129" i="562"/>
  <c r="Z37" i="562" s="1"/>
  <c r="Z102" i="562" s="1"/>
  <c r="T104" i="551"/>
  <c r="T131" i="551" s="1"/>
  <c r="U39" i="551" s="1"/>
  <c r="U49" i="551" s="1"/>
  <c r="U104" i="551"/>
  <c r="U131" i="551" s="1"/>
  <c r="V39" i="551" s="1"/>
  <c r="T49" i="551"/>
  <c r="Q9" i="411"/>
  <c r="Q10" i="411" s="1"/>
  <c r="Q41" i="411"/>
  <c r="Y17" i="562" s="1"/>
  <c r="Q24" i="411"/>
  <c r="AB65" i="565"/>
  <c r="AA119" i="565"/>
  <c r="AB27" i="565" s="1"/>
  <c r="AB92" i="565" s="1"/>
  <c r="W62" i="551"/>
  <c r="W118" i="562"/>
  <c r="X26" i="562" s="1"/>
  <c r="X91" i="562" s="1"/>
  <c r="X64" i="562"/>
  <c r="S164" i="562"/>
  <c r="R162" i="562"/>
  <c r="R171" i="562" s="1"/>
  <c r="R172" i="562" s="1"/>
  <c r="O16" i="411"/>
  <c r="O26" i="411"/>
  <c r="O25" i="411"/>
  <c r="J38" i="1"/>
  <c r="J39" i="1"/>
  <c r="P26" i="411"/>
  <c r="P25" i="411"/>
  <c r="P16" i="411"/>
  <c r="P9" i="412"/>
  <c r="P10" i="412" s="1"/>
  <c r="P41" i="412"/>
  <c r="X17" i="565" s="1"/>
  <c r="V117" i="551"/>
  <c r="W25" i="551" s="1"/>
  <c r="W90" i="551" s="1"/>
  <c r="W63" i="551"/>
  <c r="AB121" i="551"/>
  <c r="AC29" i="551" s="1"/>
  <c r="AC94" i="551" s="1"/>
  <c r="AC67" i="551"/>
  <c r="Z42" i="686"/>
  <c r="T44" i="686"/>
  <c r="Y65" i="562"/>
  <c r="X119" i="562"/>
  <c r="Y27" i="562" s="1"/>
  <c r="Y92" i="562" s="1"/>
  <c r="T70" i="686"/>
  <c r="U73" i="686"/>
  <c r="U70" i="686" s="1"/>
  <c r="W21" i="551"/>
  <c r="W80" i="551" s="1"/>
  <c r="X19" i="562"/>
  <c r="X156" i="562"/>
  <c r="X175" i="562" s="1"/>
  <c r="J46" i="1"/>
  <c r="J45" i="1"/>
  <c r="J54" i="1"/>
  <c r="V89" i="551"/>
  <c r="V116" i="551" s="1"/>
  <c r="W24" i="551" s="1"/>
  <c r="V76" i="562"/>
  <c r="Y79" i="551"/>
  <c r="T170" i="562"/>
  <c r="Y63" i="565"/>
  <c r="X117" i="565"/>
  <c r="Y25" i="565" s="1"/>
  <c r="Y90" i="565" s="1"/>
  <c r="S74" i="686"/>
  <c r="S75" i="686"/>
  <c r="S71" i="686"/>
  <c r="S72" i="686" s="1"/>
  <c r="S82" i="686"/>
  <c r="S84" i="686" s="1"/>
  <c r="AA130" i="551"/>
  <c r="AB38" i="551" s="1"/>
  <c r="AB103" i="551" s="1"/>
  <c r="AB76" i="551"/>
  <c r="AC69" i="562"/>
  <c r="AC123" i="562" s="1"/>
  <c r="AB123" i="562"/>
  <c r="AC31" i="562" s="1"/>
  <c r="AC96" i="562" s="1"/>
  <c r="U21" i="565"/>
  <c r="U78" i="565" s="1"/>
  <c r="N13" i="411"/>
  <c r="N14" i="411"/>
  <c r="U116" i="562"/>
  <c r="V24" i="562" s="1"/>
  <c r="V62" i="562"/>
  <c r="U49" i="562"/>
  <c r="U89" i="562"/>
  <c r="Y129" i="565"/>
  <c r="Z37" i="565" s="1"/>
  <c r="Z102" i="565" s="1"/>
  <c r="Z75" i="565"/>
  <c r="S24" i="1"/>
  <c r="S41" i="1"/>
  <c r="AA17" i="551" s="1"/>
  <c r="S9" i="1"/>
  <c r="S10" i="1" s="1"/>
  <c r="X106" i="551"/>
  <c r="X133" i="551" s="1"/>
  <c r="Y41" i="551" s="1"/>
  <c r="T159" i="565"/>
  <c r="W105" i="551"/>
  <c r="R85" i="686"/>
  <c r="R86" i="686" s="1"/>
  <c r="R8" i="411"/>
  <c r="Y37" i="551"/>
  <c r="Y102" i="551" s="1"/>
  <c r="V77" i="565"/>
  <c r="V158" i="551"/>
  <c r="Y129" i="551"/>
  <c r="Z37" i="551" s="1"/>
  <c r="Z102" i="551" s="1"/>
  <c r="Z75" i="551"/>
  <c r="W78" i="562"/>
  <c r="X118" i="551"/>
  <c r="Y26" i="551" s="1"/>
  <c r="Y91" i="551" s="1"/>
  <c r="Y64" i="551"/>
  <c r="Q16" i="1"/>
  <c r="Q26" i="1"/>
  <c r="Q25" i="1"/>
  <c r="AC123" i="565"/>
  <c r="V41" i="562"/>
  <c r="W79" i="562"/>
  <c r="U105" i="562"/>
  <c r="U132" i="562" s="1"/>
  <c r="V40" i="562" s="1"/>
  <c r="V105" i="562"/>
  <c r="V132" i="562" s="1"/>
  <c r="W40" i="562" s="1"/>
  <c r="W77" i="562"/>
  <c r="V131" i="562"/>
  <c r="W39" i="562" s="1"/>
  <c r="W104" i="562" s="1"/>
  <c r="T104" i="565"/>
  <c r="T131" i="565" s="1"/>
  <c r="U39" i="565" s="1"/>
  <c r="AA120" i="565"/>
  <c r="AB28" i="565" s="1"/>
  <c r="AB93" i="565" s="1"/>
  <c r="AB66" i="565"/>
  <c r="X78" i="551"/>
  <c r="W132" i="551"/>
  <c r="X40" i="551" s="1"/>
  <c r="X105" i="551" s="1"/>
  <c r="V153" i="551"/>
  <c r="X63" i="562"/>
  <c r="W117" i="562"/>
  <c r="X25" i="562" s="1"/>
  <c r="X90" i="562" s="1"/>
  <c r="S166" i="551"/>
  <c r="J55" i="412"/>
  <c r="J80" i="412"/>
  <c r="AE80" i="412" s="1"/>
  <c r="V105" i="551"/>
  <c r="V132" i="551" s="1"/>
  <c r="W40" i="551" s="1"/>
  <c r="BK72" i="2"/>
  <c r="BK73" i="2"/>
  <c r="BK89" i="2"/>
  <c r="BK71" i="2"/>
  <c r="CH70" i="2"/>
  <c r="BK76" i="2"/>
  <c r="T130" i="565"/>
  <c r="U38" i="565" s="1"/>
  <c r="U76" i="565"/>
  <c r="N19" i="412"/>
  <c r="N20" i="412"/>
  <c r="N17" i="412"/>
  <c r="N18" i="412" s="1"/>
  <c r="N12" i="412"/>
  <c r="V21" i="565"/>
  <c r="V79" i="565" s="1"/>
  <c r="T49" i="562"/>
  <c r="U45" i="686"/>
  <c r="U46" i="686" s="1"/>
  <c r="U8" i="1"/>
  <c r="S174" i="551"/>
  <c r="R193" i="551"/>
  <c r="R179" i="551"/>
  <c r="R178" i="551" s="1"/>
  <c r="AA122" i="551"/>
  <c r="AB30" i="551" s="1"/>
  <c r="AB95" i="551" s="1"/>
  <c r="AB68" i="551"/>
  <c r="O13" i="1"/>
  <c r="O14" i="1"/>
  <c r="P20" i="1"/>
  <c r="P17" i="1"/>
  <c r="P18" i="1" s="1"/>
  <c r="P19" i="1"/>
  <c r="P12" i="1"/>
  <c r="AC123" i="551"/>
  <c r="U158" i="562"/>
  <c r="BM69" i="2"/>
  <c r="BL70" i="2"/>
  <c r="V153" i="562"/>
  <c r="S103" i="565"/>
  <c r="S130" i="565" s="1"/>
  <c r="T38" i="565" s="1"/>
  <c r="T49" i="565" s="1"/>
  <c r="T103" i="565"/>
  <c r="S49" i="565"/>
  <c r="X62" i="565"/>
  <c r="W116" i="565"/>
  <c r="X24" i="565" s="1"/>
  <c r="Q125" i="686"/>
  <c r="Q126" i="686" s="1"/>
  <c r="Q8" i="412"/>
  <c r="U153" i="565"/>
  <c r="Z19" i="551"/>
  <c r="Z20" i="551" s="1"/>
  <c r="Z156" i="551"/>
  <c r="Z175" i="551" s="1"/>
  <c r="S110" i="686"/>
  <c r="T113" i="686"/>
  <c r="S177" i="562"/>
  <c r="S192" i="562"/>
  <c r="S191" i="562"/>
  <c r="W118" i="565"/>
  <c r="X26" i="565" s="1"/>
  <c r="X91" i="565" s="1"/>
  <c r="X64" i="565"/>
  <c r="Z120" i="551"/>
  <c r="AA28" i="551" s="1"/>
  <c r="AA93" i="551" s="1"/>
  <c r="AA66" i="551"/>
  <c r="J31" i="411"/>
  <c r="J44" i="411"/>
  <c r="J32" i="411"/>
  <c r="J37" i="411"/>
  <c r="K34" i="411"/>
  <c r="K30" i="411"/>
  <c r="X21" i="551"/>
  <c r="X81" i="551" s="1"/>
  <c r="R16" i="1"/>
  <c r="R26" i="1"/>
  <c r="R25" i="1"/>
  <c r="W19" i="562"/>
  <c r="W156" i="562"/>
  <c r="W175" i="562" s="1"/>
  <c r="R122" i="686"/>
  <c r="R124" i="686" s="1"/>
  <c r="R114" i="686"/>
  <c r="R115" i="686"/>
  <c r="R111" i="686"/>
  <c r="R112" i="686" s="1"/>
  <c r="AB122" i="565"/>
  <c r="AC30" i="565" s="1"/>
  <c r="AC95" i="565" s="1"/>
  <c r="AC68" i="565"/>
  <c r="AC122" i="565" s="1"/>
  <c r="O24" i="412"/>
  <c r="O41" i="412"/>
  <c r="W17" i="565" s="1"/>
  <c r="O9" i="412"/>
  <c r="O10" i="412" s="1"/>
  <c r="Y37" i="562"/>
  <c r="Y102" i="562" s="1"/>
  <c r="M13" i="412"/>
  <c r="M14" i="412"/>
  <c r="K32" i="1"/>
  <c r="K31" i="1"/>
  <c r="K68" i="1"/>
  <c r="K66" i="1" s="1"/>
  <c r="L48" i="1" s="1"/>
  <c r="K44" i="1"/>
  <c r="K37" i="1"/>
  <c r="Y119" i="551"/>
  <c r="Z27" i="551" s="1"/>
  <c r="Z92" i="551" s="1"/>
  <c r="Z65" i="551"/>
  <c r="Y21" i="551"/>
  <c r="Y82" i="551" s="1"/>
  <c r="W105" i="562" l="1"/>
  <c r="W89" i="551"/>
  <c r="W116" i="551" s="1"/>
  <c r="X24" i="551" s="1"/>
  <c r="V49" i="551"/>
  <c r="V104" i="551"/>
  <c r="Y106" i="551"/>
  <c r="V103" i="562"/>
  <c r="V130" i="562" s="1"/>
  <c r="W38" i="562" s="1"/>
  <c r="Z119" i="551"/>
  <c r="AA27" i="551" s="1"/>
  <c r="AA92" i="551" s="1"/>
  <c r="AA65" i="551"/>
  <c r="J46" i="411"/>
  <c r="J54" i="411"/>
  <c r="J45" i="411"/>
  <c r="X89" i="565"/>
  <c r="X116" i="565" s="1"/>
  <c r="Y24" i="565" s="1"/>
  <c r="BL89" i="2"/>
  <c r="BL73" i="2"/>
  <c r="BL72" i="2"/>
  <c r="BL71" i="2"/>
  <c r="BL76" i="2"/>
  <c r="V106" i="562"/>
  <c r="V133" i="562" s="1"/>
  <c r="W41" i="562" s="1"/>
  <c r="W77" i="565"/>
  <c r="X62" i="551"/>
  <c r="K38" i="1"/>
  <c r="K39" i="1"/>
  <c r="AA120" i="551"/>
  <c r="AB28" i="551" s="1"/>
  <c r="AB93" i="551" s="1"/>
  <c r="AB66" i="551"/>
  <c r="Y62" i="565"/>
  <c r="BN69" i="2"/>
  <c r="BM70" i="2"/>
  <c r="AB122" i="551"/>
  <c r="AC30" i="551" s="1"/>
  <c r="AC95" i="551" s="1"/>
  <c r="AC68" i="551"/>
  <c r="V76" i="565"/>
  <c r="X117" i="562"/>
  <c r="Y25" i="562" s="1"/>
  <c r="Y90" i="562" s="1"/>
  <c r="Y63" i="562"/>
  <c r="X21" i="562"/>
  <c r="X81" i="562" s="1"/>
  <c r="U104" i="565"/>
  <c r="U131" i="565" s="1"/>
  <c r="V39" i="565" s="1"/>
  <c r="U57" i="562"/>
  <c r="U59" i="562" s="1"/>
  <c r="M29" i="411" s="1"/>
  <c r="U165" i="562"/>
  <c r="W42" i="551"/>
  <c r="X80" i="551"/>
  <c r="K45" i="1"/>
  <c r="K46" i="1"/>
  <c r="K54" i="1"/>
  <c r="S165" i="565"/>
  <c r="S57" i="565"/>
  <c r="S59" i="565" s="1"/>
  <c r="K29" i="412" s="1"/>
  <c r="W153" i="551"/>
  <c r="R24" i="411"/>
  <c r="R9" i="411"/>
  <c r="R10" i="411" s="1"/>
  <c r="R41" i="411"/>
  <c r="Z17" i="562" s="1"/>
  <c r="W62" i="562"/>
  <c r="Z63" i="565"/>
  <c r="Y117" i="565"/>
  <c r="Z25" i="565" s="1"/>
  <c r="Z90" i="565" s="1"/>
  <c r="U82" i="686"/>
  <c r="U84" i="686" s="1"/>
  <c r="U74" i="686"/>
  <c r="U75" i="686"/>
  <c r="U71" i="686"/>
  <c r="U72" i="686" s="1"/>
  <c r="P20" i="411"/>
  <c r="P17" i="411"/>
  <c r="P18" i="411" s="1"/>
  <c r="P19" i="411"/>
  <c r="P12" i="411"/>
  <c r="AB119" i="565"/>
  <c r="AC27" i="565" s="1"/>
  <c r="AC92" i="565" s="1"/>
  <c r="AC65" i="565"/>
  <c r="AC119" i="565" s="1"/>
  <c r="L51" i="1"/>
  <c r="L58" i="1" s="1"/>
  <c r="L59" i="1" s="1"/>
  <c r="Y64" i="565"/>
  <c r="X118" i="565"/>
  <c r="Y26" i="565" s="1"/>
  <c r="Y91" i="565" s="1"/>
  <c r="BK77" i="2"/>
  <c r="BK78" i="2"/>
  <c r="R125" i="686"/>
  <c r="R126" i="686" s="1"/>
  <c r="R8" i="412"/>
  <c r="CH71" i="2"/>
  <c r="CH72" i="2"/>
  <c r="CH73" i="2"/>
  <c r="CH76" i="2"/>
  <c r="W131" i="562"/>
  <c r="X77" i="562"/>
  <c r="V49" i="562"/>
  <c r="V89" i="562"/>
  <c r="V116" i="562" s="1"/>
  <c r="W24" i="562" s="1"/>
  <c r="T74" i="686"/>
  <c r="T75" i="686"/>
  <c r="Z70" i="686"/>
  <c r="T71" i="686"/>
  <c r="T72" i="686" s="1"/>
  <c r="T82" i="686"/>
  <c r="V159" i="551"/>
  <c r="Q26" i="411"/>
  <c r="Q25" i="411"/>
  <c r="Q16" i="411"/>
  <c r="Z129" i="562"/>
  <c r="AA37" i="562" s="1"/>
  <c r="AA102" i="562" s="1"/>
  <c r="AA75" i="562"/>
  <c r="U170" i="551"/>
  <c r="T152" i="565"/>
  <c r="U155" i="565"/>
  <c r="Y133" i="551"/>
  <c r="Z79" i="551"/>
  <c r="Y119" i="562"/>
  <c r="Z27" i="562" s="1"/>
  <c r="Z92" i="562" s="1"/>
  <c r="Z65" i="562"/>
  <c r="Y19" i="562"/>
  <c r="Y156" i="562"/>
  <c r="Y175" i="562" s="1"/>
  <c r="U41" i="1"/>
  <c r="AC17" i="551" s="1"/>
  <c r="X132" i="551"/>
  <c r="Y78" i="551"/>
  <c r="Q20" i="1"/>
  <c r="Q17" i="1"/>
  <c r="Q18" i="1" s="1"/>
  <c r="Q19" i="1"/>
  <c r="Q12" i="1"/>
  <c r="Z44" i="686"/>
  <c r="T45" i="686"/>
  <c r="T46" i="686" s="1"/>
  <c r="T8" i="1"/>
  <c r="U9" i="1" s="1"/>
  <c r="U10" i="1" s="1"/>
  <c r="S64" i="753"/>
  <c r="S66" i="753" s="1"/>
  <c r="S58" i="753" s="1"/>
  <c r="AB45" i="753"/>
  <c r="S51" i="753"/>
  <c r="S54" i="753"/>
  <c r="W21" i="562"/>
  <c r="W80" i="562" s="1"/>
  <c r="W20" i="562"/>
  <c r="X20" i="562" s="1"/>
  <c r="BK91" i="2"/>
  <c r="CH89" i="2"/>
  <c r="P13" i="1"/>
  <c r="P14" i="1"/>
  <c r="AB120" i="565"/>
  <c r="AC28" i="565" s="1"/>
  <c r="AC93" i="565" s="1"/>
  <c r="AC66" i="565"/>
  <c r="T110" i="686"/>
  <c r="U113" i="686"/>
  <c r="U110" i="686" s="1"/>
  <c r="T57" i="562"/>
  <c r="T59" i="562" s="1"/>
  <c r="L29" i="411" s="1"/>
  <c r="T165" i="562"/>
  <c r="Z64" i="551"/>
  <c r="Y118" i="551"/>
  <c r="Z26" i="551" s="1"/>
  <c r="Z91" i="551" s="1"/>
  <c r="U40" i="565"/>
  <c r="U49" i="565" s="1"/>
  <c r="V78" i="565"/>
  <c r="W76" i="562"/>
  <c r="V131" i="551"/>
  <c r="W77" i="551"/>
  <c r="R20" i="1"/>
  <c r="R17" i="1"/>
  <c r="R18" i="1" s="1"/>
  <c r="R19" i="1"/>
  <c r="R12" i="1"/>
  <c r="S122" i="686"/>
  <c r="S124" i="686" s="1"/>
  <c r="S114" i="686"/>
  <c r="S115" i="686"/>
  <c r="S111" i="686"/>
  <c r="S112" i="686" s="1"/>
  <c r="T57" i="565"/>
  <c r="T59" i="565" s="1"/>
  <c r="L29" i="412" s="1"/>
  <c r="T165" i="565"/>
  <c r="V41" i="565"/>
  <c r="W79" i="565"/>
  <c r="AC121" i="551"/>
  <c r="T57" i="551"/>
  <c r="T59" i="551" s="1"/>
  <c r="L29" i="1" s="1"/>
  <c r="T165" i="551"/>
  <c r="O20" i="411"/>
  <c r="O17" i="411"/>
  <c r="O18" i="411" s="1"/>
  <c r="O19" i="411"/>
  <c r="O12" i="411"/>
  <c r="U103" i="565"/>
  <c r="U130" i="565" s="1"/>
  <c r="V38" i="565" s="1"/>
  <c r="X43" i="551"/>
  <c r="Y81" i="551"/>
  <c r="N13" i="412"/>
  <c r="N14" i="412"/>
  <c r="W132" i="562"/>
  <c r="X40" i="562" s="1"/>
  <c r="X78" i="562"/>
  <c r="AA19" i="551"/>
  <c r="AA20" i="551" s="1"/>
  <c r="AA156" i="551"/>
  <c r="AA175" i="551" s="1"/>
  <c r="K68" i="411"/>
  <c r="K66" i="411" s="1"/>
  <c r="L48" i="411" s="1"/>
  <c r="K31" i="411"/>
  <c r="K44" i="411"/>
  <c r="K32" i="411"/>
  <c r="K37" i="411"/>
  <c r="Z21" i="551"/>
  <c r="Z83" i="551" s="1"/>
  <c r="U159" i="562"/>
  <c r="Z129" i="551"/>
  <c r="AA37" i="551" s="1"/>
  <c r="AA102" i="551" s="1"/>
  <c r="AA75" i="551"/>
  <c r="S26" i="1"/>
  <c r="S16" i="1"/>
  <c r="S25" i="1"/>
  <c r="AB130" i="551"/>
  <c r="AC38" i="551" s="1"/>
  <c r="AC103" i="551" s="1"/>
  <c r="AC76" i="551"/>
  <c r="W117" i="551"/>
  <c r="X25" i="551" s="1"/>
  <c r="X90" i="551" s="1"/>
  <c r="X63" i="551"/>
  <c r="R179" i="562"/>
  <c r="R178" i="562" s="1"/>
  <c r="R193" i="562"/>
  <c r="S174" i="562"/>
  <c r="U165" i="551"/>
  <c r="U57" i="551"/>
  <c r="U59" i="551" s="1"/>
  <c r="M29" i="1" s="1"/>
  <c r="Y44" i="551"/>
  <c r="Z82" i="551"/>
  <c r="O16" i="412"/>
  <c r="O25" i="412"/>
  <c r="O26" i="412"/>
  <c r="J38" i="411"/>
  <c r="J39" i="411"/>
  <c r="V153" i="565"/>
  <c r="J80" i="1"/>
  <c r="AE80" i="1" s="1"/>
  <c r="J55" i="1"/>
  <c r="S167" i="562"/>
  <c r="S166" i="562"/>
  <c r="Q41" i="412"/>
  <c r="Y17" i="565" s="1"/>
  <c r="Q9" i="412"/>
  <c r="Q10" i="412" s="1"/>
  <c r="X79" i="562"/>
  <c r="S85" i="686"/>
  <c r="S86" i="686" s="1"/>
  <c r="S8" i="411"/>
  <c r="P24" i="412"/>
  <c r="X118" i="562"/>
  <c r="Y26" i="562" s="1"/>
  <c r="Y91" i="562" s="1"/>
  <c r="Y64" i="562"/>
  <c r="W19" i="565"/>
  <c r="W156" i="565"/>
  <c r="W175" i="565" s="1"/>
  <c r="S167" i="551"/>
  <c r="Z129" i="565"/>
  <c r="AA37" i="565" s="1"/>
  <c r="AA102" i="565" s="1"/>
  <c r="AA75" i="565"/>
  <c r="X19" i="565"/>
  <c r="X156" i="565"/>
  <c r="X175" i="565" s="1"/>
  <c r="BO69" i="2"/>
  <c r="BO70" i="2" s="1"/>
  <c r="V103" i="565" l="1"/>
  <c r="X89" i="551"/>
  <c r="Y89" i="565"/>
  <c r="W89" i="562"/>
  <c r="W103" i="562"/>
  <c r="U57" i="565"/>
  <c r="U59" i="565" s="1"/>
  <c r="M29" i="412" s="1"/>
  <c r="U165" i="565"/>
  <c r="U152" i="562"/>
  <c r="V155" i="562"/>
  <c r="Z81" i="551"/>
  <c r="L34" i="411"/>
  <c r="L30" i="411"/>
  <c r="AB64" i="753"/>
  <c r="AB51" i="753"/>
  <c r="AB54" i="753"/>
  <c r="AC45" i="753"/>
  <c r="AA129" i="562"/>
  <c r="AB37" i="562" s="1"/>
  <c r="AB102" i="562" s="1"/>
  <c r="AB75" i="562"/>
  <c r="CH78" i="2"/>
  <c r="CH77" i="2"/>
  <c r="M34" i="411"/>
  <c r="M30" i="411"/>
  <c r="AB120" i="551"/>
  <c r="AC28" i="551" s="1"/>
  <c r="AC93" i="551" s="1"/>
  <c r="AC66" i="551"/>
  <c r="AC120" i="551" s="1"/>
  <c r="W106" i="562"/>
  <c r="W133" i="562" s="1"/>
  <c r="X41" i="562" s="1"/>
  <c r="S162" i="551"/>
  <c r="S171" i="551" s="1"/>
  <c r="S172" i="551" s="1"/>
  <c r="T164" i="551"/>
  <c r="O19" i="412"/>
  <c r="O20" i="412"/>
  <c r="O17" i="412"/>
  <c r="O18" i="412" s="1"/>
  <c r="O12" i="412"/>
  <c r="P16" i="412"/>
  <c r="P25" i="412"/>
  <c r="P26" i="412"/>
  <c r="S162" i="562"/>
  <c r="S171" i="562" s="1"/>
  <c r="S172" i="562" s="1"/>
  <c r="T164" i="562"/>
  <c r="T166" i="562" s="1"/>
  <c r="X108" i="551"/>
  <c r="X135" i="551" s="1"/>
  <c r="Y43" i="551" s="1"/>
  <c r="Y108" i="551"/>
  <c r="Y135" i="551" s="1"/>
  <c r="Z43" i="551" s="1"/>
  <c r="S24" i="411"/>
  <c r="S9" i="411"/>
  <c r="S10" i="411" s="1"/>
  <c r="S41" i="411"/>
  <c r="AA17" i="562" s="1"/>
  <c r="U177" i="551"/>
  <c r="U192" i="551"/>
  <c r="Q20" i="411"/>
  <c r="Q17" i="411"/>
  <c r="Q18" i="411" s="1"/>
  <c r="Q19" i="411"/>
  <c r="Q12" i="411"/>
  <c r="R16" i="411"/>
  <c r="R26" i="411"/>
  <c r="R25" i="411"/>
  <c r="V104" i="565"/>
  <c r="V131" i="565" s="1"/>
  <c r="W39" i="565" s="1"/>
  <c r="V165" i="551"/>
  <c r="V57" i="551"/>
  <c r="V59" i="551" s="1"/>
  <c r="N29" i="1" s="1"/>
  <c r="U122" i="686"/>
  <c r="U124" i="686" s="1"/>
  <c r="U114" i="686"/>
  <c r="U115" i="686"/>
  <c r="U111" i="686"/>
  <c r="U112" i="686" s="1"/>
  <c r="AA83" i="551"/>
  <c r="Z45" i="551"/>
  <c r="T122" i="686"/>
  <c r="T114" i="686"/>
  <c r="T115" i="686"/>
  <c r="Z110" i="686"/>
  <c r="T111" i="686"/>
  <c r="T112" i="686" s="1"/>
  <c r="T41" i="1"/>
  <c r="AB17" i="551" s="1"/>
  <c r="T24" i="1"/>
  <c r="U24" i="1" s="1"/>
  <c r="T9" i="1"/>
  <c r="T10" i="1" s="1"/>
  <c r="BL77" i="2"/>
  <c r="BL78" i="2"/>
  <c r="M34" i="1"/>
  <c r="M30" i="1"/>
  <c r="AB58" i="753"/>
  <c r="S59" i="753"/>
  <c r="S60" i="753" s="1"/>
  <c r="Y79" i="562"/>
  <c r="K38" i="411"/>
  <c r="K39" i="411"/>
  <c r="AC120" i="565"/>
  <c r="X153" i="551"/>
  <c r="X43" i="562"/>
  <c r="Y81" i="562"/>
  <c r="X116" i="551"/>
  <c r="Y24" i="551" s="1"/>
  <c r="Y62" i="551"/>
  <c r="W39" i="551"/>
  <c r="Z63" i="562"/>
  <c r="Y117" i="562"/>
  <c r="Z25" i="562" s="1"/>
  <c r="Z90" i="562" s="1"/>
  <c r="O13" i="411"/>
  <c r="O14" i="411"/>
  <c r="X79" i="565"/>
  <c r="X77" i="551"/>
  <c r="Q13" i="1"/>
  <c r="Q14" i="1"/>
  <c r="V152" i="551"/>
  <c r="W155" i="551"/>
  <c r="K34" i="412"/>
  <c r="K30" i="412"/>
  <c r="Z82" i="686"/>
  <c r="T84" i="686"/>
  <c r="S177" i="565"/>
  <c r="S192" i="565"/>
  <c r="S167" i="565"/>
  <c r="S191" i="565"/>
  <c r="W153" i="562"/>
  <c r="AC130" i="551"/>
  <c r="L51" i="411"/>
  <c r="L58" i="411" s="1"/>
  <c r="L59" i="411" s="1"/>
  <c r="V106" i="565"/>
  <c r="V133" i="565" s="1"/>
  <c r="W41" i="565" s="1"/>
  <c r="W106" i="565"/>
  <c r="W133" i="565" s="1"/>
  <c r="X41" i="565" s="1"/>
  <c r="Z119" i="562"/>
  <c r="AA27" i="562" s="1"/>
  <c r="AA92" i="562" s="1"/>
  <c r="AA65" i="562"/>
  <c r="K64" i="1"/>
  <c r="K55" i="1"/>
  <c r="X77" i="565"/>
  <c r="BL91" i="2"/>
  <c r="R9" i="412"/>
  <c r="R10" i="412" s="1"/>
  <c r="R41" i="412"/>
  <c r="Z17" i="565" s="1"/>
  <c r="X117" i="551"/>
  <c r="Y25" i="551" s="1"/>
  <c r="Y90" i="551" s="1"/>
  <c r="Y63" i="551"/>
  <c r="K45" i="411"/>
  <c r="K46" i="411"/>
  <c r="K54" i="411"/>
  <c r="AB75" i="565"/>
  <c r="AA129" i="565"/>
  <c r="AB37" i="565" s="1"/>
  <c r="AB102" i="565" s="1"/>
  <c r="U85" i="686"/>
  <c r="U86" i="686" s="1"/>
  <c r="U8" i="411"/>
  <c r="V130" i="565"/>
  <c r="W38" i="565" s="1"/>
  <c r="W76" i="565"/>
  <c r="AA21" i="551"/>
  <c r="AA84" i="551" s="1"/>
  <c r="L34" i="412"/>
  <c r="L30" i="412"/>
  <c r="BK99" i="2"/>
  <c r="BK93" i="2"/>
  <c r="BK92" i="2"/>
  <c r="CH91" i="2"/>
  <c r="AA79" i="551"/>
  <c r="Y118" i="565"/>
  <c r="Z26" i="565" s="1"/>
  <c r="Z91" i="565" s="1"/>
  <c r="Z64" i="565"/>
  <c r="BO89" i="2"/>
  <c r="BO91" i="2" s="1"/>
  <c r="BO72" i="2"/>
  <c r="BO71" i="2"/>
  <c r="BO73" i="2"/>
  <c r="BO76" i="2"/>
  <c r="T177" i="565"/>
  <c r="T192" i="565"/>
  <c r="W130" i="562"/>
  <c r="X76" i="562"/>
  <c r="Y19" i="565"/>
  <c r="Y156" i="565"/>
  <c r="Y175" i="565" s="1"/>
  <c r="S19" i="1"/>
  <c r="S20" i="1"/>
  <c r="S17" i="1"/>
  <c r="S18" i="1" s="1"/>
  <c r="S12" i="1"/>
  <c r="Y78" i="562"/>
  <c r="W78" i="565"/>
  <c r="Y20" i="562"/>
  <c r="Z20" i="562" s="1"/>
  <c r="Z41" i="551"/>
  <c r="AA63" i="565"/>
  <c r="Z117" i="565"/>
  <c r="AA25" i="565" s="1"/>
  <c r="AA90" i="565" s="1"/>
  <c r="AC122" i="551"/>
  <c r="J55" i="411"/>
  <c r="J80" i="411"/>
  <c r="AE80" i="411" s="1"/>
  <c r="X105" i="562"/>
  <c r="X132" i="562" s="1"/>
  <c r="Y40" i="562" s="1"/>
  <c r="U105" i="565"/>
  <c r="U132" i="565" s="1"/>
  <c r="V40" i="565" s="1"/>
  <c r="V49" i="565" s="1"/>
  <c r="V105" i="565"/>
  <c r="V132" i="565" s="1"/>
  <c r="W40" i="565" s="1"/>
  <c r="U158" i="565"/>
  <c r="Y80" i="551"/>
  <c r="Z78" i="551"/>
  <c r="T191" i="565"/>
  <c r="T170" i="565"/>
  <c r="V165" i="562"/>
  <c r="V57" i="562"/>
  <c r="V59" i="562" s="1"/>
  <c r="N29" i="411" s="1"/>
  <c r="W116" i="562"/>
  <c r="X24" i="562" s="1"/>
  <c r="X62" i="562"/>
  <c r="BM89" i="2"/>
  <c r="BM91" i="2" s="1"/>
  <c r="BM73" i="2"/>
  <c r="BM72" i="2"/>
  <c r="BM71" i="2"/>
  <c r="BM76" i="2"/>
  <c r="W20" i="565"/>
  <c r="X20" i="565" s="1"/>
  <c r="Q24" i="412"/>
  <c r="T177" i="551"/>
  <c r="T191" i="551"/>
  <c r="T192" i="551"/>
  <c r="S8" i="412"/>
  <c r="S125" i="686"/>
  <c r="S126" i="686" s="1"/>
  <c r="Z118" i="551"/>
  <c r="AA26" i="551" s="1"/>
  <c r="AA91" i="551" s="1"/>
  <c r="AA64" i="551"/>
  <c r="Y40" i="551"/>
  <c r="U191" i="551"/>
  <c r="Y77" i="562"/>
  <c r="W107" i="551"/>
  <c r="W134" i="551" s="1"/>
  <c r="X42" i="551" s="1"/>
  <c r="BN70" i="2"/>
  <c r="CI70" i="2" s="1"/>
  <c r="CI69" i="2"/>
  <c r="AA119" i="551"/>
  <c r="AB27" i="551" s="1"/>
  <c r="AB92" i="551" s="1"/>
  <c r="AB65" i="551"/>
  <c r="W42" i="562"/>
  <c r="X80" i="562"/>
  <c r="AA82" i="551"/>
  <c r="AB75" i="551"/>
  <c r="AA129" i="551"/>
  <c r="AB37" i="551" s="1"/>
  <c r="AB102" i="551" s="1"/>
  <c r="Y118" i="562"/>
  <c r="Z26" i="562" s="1"/>
  <c r="Z91" i="562" s="1"/>
  <c r="Z64" i="562"/>
  <c r="Z109" i="551"/>
  <c r="Z136" i="551" s="1"/>
  <c r="AA44" i="551" s="1"/>
  <c r="AA109" i="551" s="1"/>
  <c r="Y109" i="551"/>
  <c r="Y136" i="551" s="1"/>
  <c r="Z44" i="551" s="1"/>
  <c r="AD46" i="753"/>
  <c r="AD45" i="753" s="1"/>
  <c r="L34" i="1"/>
  <c r="L30" i="1"/>
  <c r="R13" i="1"/>
  <c r="R14" i="1"/>
  <c r="T177" i="562"/>
  <c r="T192" i="562"/>
  <c r="T191" i="562"/>
  <c r="AC19" i="551"/>
  <c r="AC156" i="551"/>
  <c r="AC175" i="551" s="1"/>
  <c r="X39" i="562"/>
  <c r="P13" i="411"/>
  <c r="P14" i="411"/>
  <c r="Z19" i="562"/>
  <c r="Z156" i="562"/>
  <c r="Z175" i="562" s="1"/>
  <c r="U177" i="562"/>
  <c r="U192" i="562"/>
  <c r="Y116" i="565"/>
  <c r="Z24" i="565" s="1"/>
  <c r="Z62" i="565"/>
  <c r="Y105" i="562" l="1"/>
  <c r="Y132" i="562" s="1"/>
  <c r="Z40" i="562" s="1"/>
  <c r="U16" i="1"/>
  <c r="U26" i="1"/>
  <c r="U25" i="1"/>
  <c r="V165" i="565"/>
  <c r="V57" i="565"/>
  <c r="V59" i="565" s="1"/>
  <c r="N29" i="412" s="1"/>
  <c r="CI71" i="2"/>
  <c r="CI72" i="2"/>
  <c r="CI73" i="2"/>
  <c r="CI76" i="2"/>
  <c r="Y106" i="562"/>
  <c r="Z108" i="551"/>
  <c r="T166" i="551"/>
  <c r="T167" i="551" s="1"/>
  <c r="BM92" i="2"/>
  <c r="BM99" i="2"/>
  <c r="BM93" i="2"/>
  <c r="X38" i="562"/>
  <c r="X49" i="562" s="1"/>
  <c r="W107" i="562"/>
  <c r="W134" i="562" s="1"/>
  <c r="X42" i="562" s="1"/>
  <c r="X107" i="562"/>
  <c r="BK100" i="2"/>
  <c r="BK101" i="2" s="1"/>
  <c r="BK106" i="2"/>
  <c r="CH99" i="2"/>
  <c r="CH100" i="2" s="1"/>
  <c r="CH101" i="2" s="1"/>
  <c r="AB66" i="753"/>
  <c r="AB59" i="753"/>
  <c r="AB60" i="753" s="1"/>
  <c r="Z110" i="551"/>
  <c r="Z137" i="551" s="1"/>
  <c r="AA45" i="551" s="1"/>
  <c r="AA110" i="551"/>
  <c r="X89" i="562"/>
  <c r="N34" i="411"/>
  <c r="N30" i="411"/>
  <c r="Z78" i="562"/>
  <c r="BO78" i="2"/>
  <c r="BO77" i="2"/>
  <c r="V177" i="562"/>
  <c r="V192" i="562"/>
  <c r="AA46" i="551"/>
  <c r="AB84" i="551"/>
  <c r="Z19" i="565"/>
  <c r="Z156" i="565"/>
  <c r="Z175" i="565" s="1"/>
  <c r="X106" i="565"/>
  <c r="W159" i="551"/>
  <c r="W158" i="551"/>
  <c r="Z62" i="551"/>
  <c r="S179" i="562"/>
  <c r="S178" i="562" s="1"/>
  <c r="S193" i="562"/>
  <c r="T174" i="562"/>
  <c r="V159" i="562"/>
  <c r="V158" i="562"/>
  <c r="Y117" i="551"/>
  <c r="Z25" i="551" s="1"/>
  <c r="Z90" i="551" s="1"/>
  <c r="Z63" i="551"/>
  <c r="Q13" i="411"/>
  <c r="Q14" i="411"/>
  <c r="L44" i="1"/>
  <c r="L32" i="1"/>
  <c r="L31" i="1"/>
  <c r="L68" i="1"/>
  <c r="L66" i="1" s="1"/>
  <c r="M48" i="1" s="1"/>
  <c r="L37" i="1"/>
  <c r="X116" i="562"/>
  <c r="Y24" i="562" s="1"/>
  <c r="Y62" i="562"/>
  <c r="AC65" i="551"/>
  <c r="AB119" i="551"/>
  <c r="AC27" i="551" s="1"/>
  <c r="AC92" i="551" s="1"/>
  <c r="AA118" i="551"/>
  <c r="AB26" i="551" s="1"/>
  <c r="AB91" i="551" s="1"/>
  <c r="AB64" i="551"/>
  <c r="Z21" i="562"/>
  <c r="Z83" i="562" s="1"/>
  <c r="S9" i="412"/>
  <c r="S10" i="412" s="1"/>
  <c r="S41" i="412"/>
  <c r="AA17" i="565" s="1"/>
  <c r="W105" i="565"/>
  <c r="V170" i="551"/>
  <c r="V191" i="551"/>
  <c r="Y89" i="551"/>
  <c r="Y116" i="551" s="1"/>
  <c r="Z24" i="551" s="1"/>
  <c r="M32" i="411"/>
  <c r="M31" i="411"/>
  <c r="M44" i="411"/>
  <c r="M68" i="411"/>
  <c r="M66" i="411" s="1"/>
  <c r="N48" i="411" s="1"/>
  <c r="M37" i="411"/>
  <c r="U191" i="562"/>
  <c r="U170" i="562"/>
  <c r="S13" i="1"/>
  <c r="S14" i="1"/>
  <c r="BN89" i="2"/>
  <c r="BN72" i="2"/>
  <c r="BN71" i="2"/>
  <c r="BN73" i="2"/>
  <c r="BN76" i="2"/>
  <c r="W130" i="565"/>
  <c r="X76" i="565"/>
  <c r="Z81" i="562"/>
  <c r="U8" i="412"/>
  <c r="P17" i="412"/>
  <c r="P18" i="412" s="1"/>
  <c r="P19" i="412"/>
  <c r="P20" i="412"/>
  <c r="P12" i="412"/>
  <c r="U177" i="565"/>
  <c r="U192" i="565"/>
  <c r="M34" i="412"/>
  <c r="M30" i="412"/>
  <c r="X106" i="562"/>
  <c r="X133" i="562" s="1"/>
  <c r="Y41" i="562" s="1"/>
  <c r="X104" i="562"/>
  <c r="X131" i="562" s="1"/>
  <c r="Y39" i="562" s="1"/>
  <c r="Y107" i="551"/>
  <c r="Y134" i="551" s="1"/>
  <c r="Z42" i="551" s="1"/>
  <c r="AA78" i="551"/>
  <c r="T26" i="1"/>
  <c r="T25" i="1"/>
  <c r="T16" i="1"/>
  <c r="Y77" i="565"/>
  <c r="AB19" i="551"/>
  <c r="AB156" i="551"/>
  <c r="AB175" i="551" s="1"/>
  <c r="V177" i="551"/>
  <c r="V192" i="551"/>
  <c r="AA19" i="562"/>
  <c r="AA20" i="562" s="1"/>
  <c r="AA156" i="562"/>
  <c r="AA175" i="562" s="1"/>
  <c r="AC75" i="562"/>
  <c r="AB129" i="562"/>
  <c r="AC37" i="562" s="1"/>
  <c r="AC102" i="562" s="1"/>
  <c r="BO99" i="2"/>
  <c r="BO93" i="2"/>
  <c r="BO92" i="2"/>
  <c r="U9" i="411"/>
  <c r="U10" i="411" s="1"/>
  <c r="U41" i="411"/>
  <c r="AC17" i="562" s="1"/>
  <c r="BL93" i="2"/>
  <c r="BL92" i="2"/>
  <c r="BL99" i="2"/>
  <c r="Y77" i="551"/>
  <c r="AA64" i="562"/>
  <c r="Z118" i="562"/>
  <c r="AA26" i="562" s="1"/>
  <c r="AA91" i="562" s="1"/>
  <c r="Q16" i="412"/>
  <c r="Q26" i="412"/>
  <c r="Q25" i="412"/>
  <c r="Y20" i="565"/>
  <c r="Z20" i="565" s="1"/>
  <c r="AA64" i="565"/>
  <c r="Z118" i="565"/>
  <c r="AA26" i="565" s="1"/>
  <c r="AA91" i="565" s="1"/>
  <c r="X153" i="562"/>
  <c r="Y153" i="551"/>
  <c r="W104" i="565"/>
  <c r="W131" i="565" s="1"/>
  <c r="X39" i="565" s="1"/>
  <c r="X104" i="565" s="1"/>
  <c r="X131" i="565" s="1"/>
  <c r="Y39" i="565" s="1"/>
  <c r="W21" i="565"/>
  <c r="AB129" i="565"/>
  <c r="AC37" i="565" s="1"/>
  <c r="AC102" i="565" s="1"/>
  <c r="AC75" i="565"/>
  <c r="AC129" i="565" s="1"/>
  <c r="X21" i="565"/>
  <c r="X81" i="565" s="1"/>
  <c r="X133" i="565"/>
  <c r="Y41" i="565" s="1"/>
  <c r="Y79" i="565"/>
  <c r="AC75" i="551"/>
  <c r="AC129" i="551" s="1"/>
  <c r="AB129" i="551"/>
  <c r="AC37" i="551" s="1"/>
  <c r="AC102" i="551" s="1"/>
  <c r="X107" i="551"/>
  <c r="X134" i="551" s="1"/>
  <c r="Y42" i="551" s="1"/>
  <c r="BM77" i="2"/>
  <c r="BM78" i="2"/>
  <c r="U159" i="565"/>
  <c r="AB79" i="551"/>
  <c r="K55" i="411"/>
  <c r="K64" i="411"/>
  <c r="S16" i="411"/>
  <c r="S26" i="411"/>
  <c r="S25" i="411"/>
  <c r="AC64" i="753"/>
  <c r="AC51" i="753"/>
  <c r="AC54" i="753"/>
  <c r="O13" i="412"/>
  <c r="O14" i="412"/>
  <c r="Z80" i="551"/>
  <c r="AA136" i="551"/>
  <c r="AB44" i="551" s="1"/>
  <c r="AB82" i="551"/>
  <c r="Y21" i="565"/>
  <c r="Y82" i="565" s="1"/>
  <c r="AA119" i="562"/>
  <c r="AB27" i="562" s="1"/>
  <c r="AB92" i="562" s="1"/>
  <c r="AB65" i="562"/>
  <c r="T164" i="565"/>
  <c r="S162" i="565"/>
  <c r="S171" i="565" s="1"/>
  <c r="S172" i="565" s="1"/>
  <c r="X108" i="562"/>
  <c r="X135" i="562" s="1"/>
  <c r="Y43" i="562" s="1"/>
  <c r="Y108" i="562" s="1"/>
  <c r="Y135" i="562" s="1"/>
  <c r="Z43" i="562" s="1"/>
  <c r="N34" i="1"/>
  <c r="N30" i="1"/>
  <c r="Z77" i="562"/>
  <c r="AA117" i="565"/>
  <c r="AB25" i="565" s="1"/>
  <c r="AB90" i="565" s="1"/>
  <c r="AB63" i="565"/>
  <c r="CH93" i="2"/>
  <c r="CH92" i="2"/>
  <c r="Y133" i="562"/>
  <c r="Z79" i="562"/>
  <c r="R19" i="411"/>
  <c r="R20" i="411"/>
  <c r="R17" i="411"/>
  <c r="R18" i="411" s="1"/>
  <c r="R12" i="411"/>
  <c r="Y106" i="565"/>
  <c r="Z84" i="686"/>
  <c r="T85" i="686"/>
  <c r="T86" i="686" s="1"/>
  <c r="T8" i="411"/>
  <c r="Y21" i="562"/>
  <c r="Y82" i="562" s="1"/>
  <c r="Z122" i="686"/>
  <c r="T124" i="686"/>
  <c r="S179" i="551"/>
  <c r="S178" i="551" s="1"/>
  <c r="S193" i="551"/>
  <c r="T174" i="551"/>
  <c r="L32" i="411"/>
  <c r="L31" i="411"/>
  <c r="L44" i="411"/>
  <c r="L68" i="411"/>
  <c r="L66" i="411" s="1"/>
  <c r="M48" i="411" s="1"/>
  <c r="L37" i="411"/>
  <c r="AA106" i="551"/>
  <c r="AA133" i="551" s="1"/>
  <c r="AB41" i="551" s="1"/>
  <c r="Z106" i="551"/>
  <c r="Z133" i="551" s="1"/>
  <c r="AA41" i="551" s="1"/>
  <c r="Z117" i="562"/>
  <c r="AA25" i="562" s="1"/>
  <c r="AA90" i="562" s="1"/>
  <c r="AA63" i="562"/>
  <c r="X78" i="565"/>
  <c r="W132" i="565"/>
  <c r="W49" i="551"/>
  <c r="W104" i="551"/>
  <c r="W131" i="551" s="1"/>
  <c r="X39" i="551" s="1"/>
  <c r="X49" i="551" s="1"/>
  <c r="W49" i="562"/>
  <c r="L31" i="412"/>
  <c r="L44" i="412"/>
  <c r="L68" i="412"/>
  <c r="L66" i="412" s="1"/>
  <c r="M48" i="412" s="1"/>
  <c r="L32" i="412"/>
  <c r="L37" i="412"/>
  <c r="R24" i="412"/>
  <c r="S24" i="412" s="1"/>
  <c r="K68" i="412"/>
  <c r="K66" i="412" s="1"/>
  <c r="L48" i="412" s="1"/>
  <c r="K31" i="412"/>
  <c r="K44" i="412"/>
  <c r="K32" i="412"/>
  <c r="K37" i="412"/>
  <c r="M44" i="1"/>
  <c r="M32" i="1"/>
  <c r="M31" i="1"/>
  <c r="M68" i="1"/>
  <c r="M66" i="1" s="1"/>
  <c r="N48" i="1" s="1"/>
  <c r="M37" i="1"/>
  <c r="AA137" i="551"/>
  <c r="AB45" i="551" s="1"/>
  <c r="AB110" i="551" s="1"/>
  <c r="AB83" i="551"/>
  <c r="Z135" i="551"/>
  <c r="AA81" i="551"/>
  <c r="W103" i="565"/>
  <c r="Y80" i="562"/>
  <c r="X134" i="562"/>
  <c r="Y76" i="562"/>
  <c r="AA62" i="565"/>
  <c r="Z89" i="565"/>
  <c r="Z116" i="565" s="1"/>
  <c r="AA24" i="565" s="1"/>
  <c r="Y105" i="551"/>
  <c r="Y132" i="551" s="1"/>
  <c r="Z40" i="551" s="1"/>
  <c r="AD64" i="753"/>
  <c r="K80" i="753"/>
  <c r="Z80" i="753" s="1"/>
  <c r="O77" i="753"/>
  <c r="AD77" i="753" s="1"/>
  <c r="H89" i="753"/>
  <c r="W89" i="753" s="1"/>
  <c r="L86" i="753"/>
  <c r="AA86" i="753" s="1"/>
  <c r="I76" i="753"/>
  <c r="X76" i="753" s="1"/>
  <c r="G82" i="753"/>
  <c r="V82" i="753" s="1"/>
  <c r="G77" i="753"/>
  <c r="V77" i="753" s="1"/>
  <c r="F88" i="753"/>
  <c r="T88" i="753" s="1"/>
  <c r="H80" i="753"/>
  <c r="W80" i="753" s="1"/>
  <c r="K88" i="753"/>
  <c r="Z88" i="753" s="1"/>
  <c r="O85" i="753"/>
  <c r="AD85" i="753" s="1"/>
  <c r="M83" i="753"/>
  <c r="AB83" i="753" s="1"/>
  <c r="H76" i="753"/>
  <c r="W76" i="753" s="1"/>
  <c r="J84" i="753"/>
  <c r="Y84" i="753" s="1"/>
  <c r="K76" i="753"/>
  <c r="Z76" i="753" s="1"/>
  <c r="G85" i="753"/>
  <c r="V85" i="753" s="1"/>
  <c r="I77" i="753"/>
  <c r="X77" i="753" s="1"/>
  <c r="F80" i="753"/>
  <c r="T80" i="753" s="1"/>
  <c r="O82" i="753"/>
  <c r="AD82" i="753" s="1"/>
  <c r="I78" i="753"/>
  <c r="X78" i="753" s="1"/>
  <c r="F76" i="753"/>
  <c r="T76" i="753" s="1"/>
  <c r="F87" i="753"/>
  <c r="T87" i="753" s="1"/>
  <c r="N78" i="753"/>
  <c r="AC78" i="753" s="1"/>
  <c r="K84" i="753"/>
  <c r="Z84" i="753" s="1"/>
  <c r="K79" i="753"/>
  <c r="Z79" i="753" s="1"/>
  <c r="M87" i="753"/>
  <c r="AB87" i="753" s="1"/>
  <c r="L82" i="753"/>
  <c r="AA82" i="753" s="1"/>
  <c r="I83" i="753"/>
  <c r="X83" i="753" s="1"/>
  <c r="M80" i="753"/>
  <c r="AB80" i="753" s="1"/>
  <c r="K78" i="753"/>
  <c r="Z78" i="753" s="1"/>
  <c r="J89" i="753"/>
  <c r="Y89" i="753" s="1"/>
  <c r="H79" i="753"/>
  <c r="W79" i="753" s="1"/>
  <c r="O86" i="753"/>
  <c r="AD86" i="753" s="1"/>
  <c r="O81" i="753"/>
  <c r="AD81" i="753" s="1"/>
  <c r="M82" i="753"/>
  <c r="AB82" i="753" s="1"/>
  <c r="F83" i="753"/>
  <c r="T83" i="753" s="1"/>
  <c r="M85" i="753"/>
  <c r="AB85" i="753" s="1"/>
  <c r="G81" i="753"/>
  <c r="V81" i="753" s="1"/>
  <c r="O80" i="753"/>
  <c r="AD80" i="753" s="1"/>
  <c r="O79" i="753"/>
  <c r="AD79" i="753" s="1"/>
  <c r="L81" i="753"/>
  <c r="AA81" i="753" s="1"/>
  <c r="I87" i="753"/>
  <c r="X87" i="753" s="1"/>
  <c r="I82" i="753"/>
  <c r="X82" i="753" s="1"/>
  <c r="O87" i="753"/>
  <c r="AD87" i="753" s="1"/>
  <c r="J85" i="753"/>
  <c r="Y85" i="753" s="1"/>
  <c r="G86" i="753"/>
  <c r="V86" i="753" s="1"/>
  <c r="K83" i="753"/>
  <c r="Z83" i="753" s="1"/>
  <c r="I81" i="753"/>
  <c r="X81" i="753" s="1"/>
  <c r="K85" i="753"/>
  <c r="Z85" i="753" s="1"/>
  <c r="F82" i="753"/>
  <c r="T82" i="753" s="1"/>
  <c r="M89" i="753"/>
  <c r="AB89" i="753" s="1"/>
  <c r="M84" i="753"/>
  <c r="AB84" i="753" s="1"/>
  <c r="N76" i="753"/>
  <c r="AC76" i="753" s="1"/>
  <c r="N87" i="753"/>
  <c r="AC87" i="753" s="1"/>
  <c r="M86" i="753"/>
  <c r="AB86" i="753" s="1"/>
  <c r="H81" i="753"/>
  <c r="W81" i="753" s="1"/>
  <c r="L77" i="753"/>
  <c r="AA77" i="753" s="1"/>
  <c r="I86" i="753"/>
  <c r="X86" i="753" s="1"/>
  <c r="G84" i="753"/>
  <c r="V84" i="753" s="1"/>
  <c r="M78" i="753"/>
  <c r="AB78" i="753" s="1"/>
  <c r="N86" i="753"/>
  <c r="AC86" i="753" s="1"/>
  <c r="F77" i="753"/>
  <c r="T77" i="753" s="1"/>
  <c r="K87" i="753"/>
  <c r="Z87" i="753" s="1"/>
  <c r="M79" i="753"/>
  <c r="AB79" i="753" s="1"/>
  <c r="I80" i="753"/>
  <c r="X80" i="753" s="1"/>
  <c r="J80" i="753"/>
  <c r="Y80" i="753" s="1"/>
  <c r="G89" i="753"/>
  <c r="V89" i="753" s="1"/>
  <c r="O88" i="753"/>
  <c r="AD88" i="753" s="1"/>
  <c r="K81" i="753"/>
  <c r="Z81" i="753" s="1"/>
  <c r="L89" i="753"/>
  <c r="AA89" i="753" s="1"/>
  <c r="N81" i="753"/>
  <c r="AC81" i="753" s="1"/>
  <c r="M76" i="753"/>
  <c r="AB76" i="753" s="1"/>
  <c r="K82" i="753"/>
  <c r="Z82" i="753" s="1"/>
  <c r="F78" i="753"/>
  <c r="T78" i="753" s="1"/>
  <c r="N77" i="753"/>
  <c r="AC77" i="753" s="1"/>
  <c r="M88" i="753"/>
  <c r="AB88" i="753" s="1"/>
  <c r="K86" i="753"/>
  <c r="Z86" i="753" s="1"/>
  <c r="G79" i="753"/>
  <c r="V79" i="753" s="1"/>
  <c r="H87" i="753"/>
  <c r="W87" i="753" s="1"/>
  <c r="J79" i="753"/>
  <c r="Y79" i="753" s="1"/>
  <c r="O89" i="753"/>
  <c r="AD89" i="753" s="1"/>
  <c r="G80" i="753"/>
  <c r="V80" i="753" s="1"/>
  <c r="H78" i="753"/>
  <c r="W78" i="753" s="1"/>
  <c r="N82" i="753"/>
  <c r="AC82" i="753" s="1"/>
  <c r="L80" i="753"/>
  <c r="AA80" i="753" s="1"/>
  <c r="J78" i="753"/>
  <c r="Y78" i="753" s="1"/>
  <c r="I89" i="753"/>
  <c r="X89" i="753" s="1"/>
  <c r="O83" i="753"/>
  <c r="AD83" i="753" s="1"/>
  <c r="K77" i="753"/>
  <c r="Z77" i="753" s="1"/>
  <c r="H82" i="753"/>
  <c r="W82" i="753" s="1"/>
  <c r="H77" i="753"/>
  <c r="W77" i="753" s="1"/>
  <c r="O84" i="753"/>
  <c r="AD84" i="753" s="1"/>
  <c r="H83" i="753"/>
  <c r="W83" i="753" s="1"/>
  <c r="F81" i="753"/>
  <c r="T81" i="753" s="1"/>
  <c r="N80" i="753"/>
  <c r="AC80" i="753" s="1"/>
  <c r="G76" i="753"/>
  <c r="V76" i="753" s="1"/>
  <c r="I84" i="753"/>
  <c r="X84" i="753" s="1"/>
  <c r="L84" i="753"/>
  <c r="AA84" i="753" s="1"/>
  <c r="L79" i="753"/>
  <c r="AA79" i="753" s="1"/>
  <c r="I85" i="753"/>
  <c r="X85" i="753" s="1"/>
  <c r="L85" i="753"/>
  <c r="AA85" i="753" s="1"/>
  <c r="AD51" i="753"/>
  <c r="F86" i="753"/>
  <c r="T86" i="753" s="1"/>
  <c r="N85" i="753"/>
  <c r="AC85" i="753" s="1"/>
  <c r="L83" i="753"/>
  <c r="AA83" i="753" s="1"/>
  <c r="F79" i="753"/>
  <c r="T79" i="753" s="1"/>
  <c r="G87" i="753"/>
  <c r="V87" i="753" s="1"/>
  <c r="J76" i="753"/>
  <c r="Y76" i="753" s="1"/>
  <c r="J87" i="753"/>
  <c r="Y87" i="753" s="1"/>
  <c r="J82" i="753"/>
  <c r="Y82" i="753" s="1"/>
  <c r="G83" i="753"/>
  <c r="V83" i="753" s="1"/>
  <c r="H88" i="753"/>
  <c r="W88" i="753" s="1"/>
  <c r="J83" i="753"/>
  <c r="Y83" i="753" s="1"/>
  <c r="F85" i="753"/>
  <c r="T85" i="753" s="1"/>
  <c r="G88" i="753"/>
  <c r="V88" i="753" s="1"/>
  <c r="J88" i="753"/>
  <c r="Y88" i="753" s="1"/>
  <c r="H86" i="753"/>
  <c r="W86" i="753" s="1"/>
  <c r="F84" i="753"/>
  <c r="T84" i="753" s="1"/>
  <c r="J81" i="753"/>
  <c r="Y81" i="753" s="1"/>
  <c r="K89" i="753"/>
  <c r="Z89" i="753" s="1"/>
  <c r="O78" i="753"/>
  <c r="AD78" i="753" s="1"/>
  <c r="N89" i="753"/>
  <c r="AC89" i="753" s="1"/>
  <c r="N84" i="753"/>
  <c r="AC84" i="753" s="1"/>
  <c r="O76" i="753"/>
  <c r="AD76" i="753" s="1"/>
  <c r="G78" i="753"/>
  <c r="V78" i="753" s="1"/>
  <c r="H84" i="753"/>
  <c r="W84" i="753" s="1"/>
  <c r="M81" i="753"/>
  <c r="AB81" i="753" s="1"/>
  <c r="L87" i="753"/>
  <c r="AA87" i="753" s="1"/>
  <c r="L78" i="753"/>
  <c r="AA78" i="753" s="1"/>
  <c r="M77" i="753"/>
  <c r="AB77" i="753" s="1"/>
  <c r="L88" i="753"/>
  <c r="AA88" i="753" s="1"/>
  <c r="J86" i="753"/>
  <c r="Y86" i="753" s="1"/>
  <c r="N83" i="753"/>
  <c r="AC83" i="753" s="1"/>
  <c r="I88" i="753"/>
  <c r="X88" i="753" s="1"/>
  <c r="I79" i="753"/>
  <c r="X79" i="753" s="1"/>
  <c r="H85" i="753"/>
  <c r="W85" i="753" s="1"/>
  <c r="J77" i="753"/>
  <c r="Y77" i="753" s="1"/>
  <c r="F89" i="753"/>
  <c r="T89" i="753" s="1"/>
  <c r="N88" i="753"/>
  <c r="AC88" i="753" s="1"/>
  <c r="L76" i="753"/>
  <c r="AA76" i="753" s="1"/>
  <c r="N79" i="753"/>
  <c r="AC79" i="753" s="1"/>
  <c r="AD54" i="753"/>
  <c r="T167" i="562"/>
  <c r="AB106" i="551" l="1"/>
  <c r="Z108" i="562"/>
  <c r="AA89" i="565"/>
  <c r="X165" i="562"/>
  <c r="X177" i="562" s="1"/>
  <c r="X57" i="562"/>
  <c r="X59" i="562" s="1"/>
  <c r="P29" i="411" s="1"/>
  <c r="S16" i="412"/>
  <c r="S26" i="412"/>
  <c r="S25" i="412"/>
  <c r="T162" i="551"/>
  <c r="T171" i="551" s="1"/>
  <c r="T172" i="551" s="1"/>
  <c r="U164" i="551"/>
  <c r="Z89" i="551"/>
  <c r="Y104" i="565"/>
  <c r="Z105" i="562"/>
  <c r="Z76" i="562"/>
  <c r="AB81" i="551"/>
  <c r="M51" i="412"/>
  <c r="M58" i="412"/>
  <c r="Z153" i="551"/>
  <c r="T162" i="562"/>
  <c r="T171" i="562" s="1"/>
  <c r="T172" i="562" s="1"/>
  <c r="U164" i="562"/>
  <c r="AB137" i="551"/>
  <c r="AC83" i="551"/>
  <c r="L45" i="412"/>
  <c r="L46" i="412"/>
  <c r="AC63" i="565"/>
  <c r="AB117" i="565"/>
  <c r="AC25" i="565" s="1"/>
  <c r="AC90" i="565" s="1"/>
  <c r="S19" i="411"/>
  <c r="S20" i="411"/>
  <c r="S17" i="411"/>
  <c r="S18" i="411" s="1"/>
  <c r="S12" i="411"/>
  <c r="X192" i="562"/>
  <c r="Y153" i="562"/>
  <c r="AB20" i="551"/>
  <c r="AC20" i="551" s="1"/>
  <c r="AC21" i="551" s="1"/>
  <c r="AC86" i="551" s="1"/>
  <c r="AB118" i="551"/>
  <c r="AC26" i="551" s="1"/>
  <c r="AC91" i="551" s="1"/>
  <c r="AC64" i="551"/>
  <c r="AC118" i="551" s="1"/>
  <c r="W158" i="562"/>
  <c r="Y76" i="565"/>
  <c r="AA77" i="562"/>
  <c r="X38" i="565"/>
  <c r="AB65" i="753"/>
  <c r="AC63" i="753"/>
  <c r="AC66" i="753" s="1"/>
  <c r="N34" i="412"/>
  <c r="N30" i="412"/>
  <c r="Y44" i="565"/>
  <c r="Z82" i="565"/>
  <c r="W165" i="562"/>
  <c r="W57" i="562"/>
  <c r="W59" i="562" s="1"/>
  <c r="O29" i="411" s="1"/>
  <c r="Z105" i="551"/>
  <c r="Z132" i="551" s="1"/>
  <c r="AA40" i="551" s="1"/>
  <c r="N51" i="1"/>
  <c r="N58" i="1"/>
  <c r="X57" i="551"/>
  <c r="X59" i="551" s="1"/>
  <c r="P29" i="1" s="1"/>
  <c r="X165" i="551"/>
  <c r="AC82" i="551"/>
  <c r="AA118" i="565"/>
  <c r="AB26" i="565" s="1"/>
  <c r="AB91" i="565" s="1"/>
  <c r="AB64" i="565"/>
  <c r="AC119" i="551"/>
  <c r="AB109" i="551"/>
  <c r="AB136" i="551" s="1"/>
  <c r="AC44" i="551" s="1"/>
  <c r="AC109" i="551" s="1"/>
  <c r="V177" i="565"/>
  <c r="V192" i="565"/>
  <c r="Z62" i="562"/>
  <c r="BK107" i="2"/>
  <c r="BK118" i="2"/>
  <c r="CH106" i="2"/>
  <c r="M51" i="411"/>
  <c r="M58" i="411" s="1"/>
  <c r="M59" i="411" s="1"/>
  <c r="R13" i="411"/>
  <c r="R14" i="411"/>
  <c r="AA80" i="551"/>
  <c r="Z107" i="551"/>
  <c r="Z134" i="551" s="1"/>
  <c r="AA42" i="551" s="1"/>
  <c r="P13" i="412"/>
  <c r="P14" i="412"/>
  <c r="Y89" i="562"/>
  <c r="Y116" i="562" s="1"/>
  <c r="Z24" i="562" s="1"/>
  <c r="AC19" i="562"/>
  <c r="AC156" i="562"/>
  <c r="AC175" i="562" s="1"/>
  <c r="AA105" i="551"/>
  <c r="AA132" i="551" s="1"/>
  <c r="AB40" i="551" s="1"/>
  <c r="AB105" i="551" s="1"/>
  <c r="M39" i="1"/>
  <c r="M38" i="1"/>
  <c r="N44" i="1"/>
  <c r="N32" i="1"/>
  <c r="N31" i="1"/>
  <c r="N68" i="1"/>
  <c r="N66" i="1" s="1"/>
  <c r="O48" i="1" s="1"/>
  <c r="N37" i="1"/>
  <c r="AB133" i="551"/>
  <c r="AC79" i="551"/>
  <c r="T19" i="1"/>
  <c r="T20" i="1"/>
  <c r="T17" i="1"/>
  <c r="T18" i="1" s="1"/>
  <c r="T12" i="1"/>
  <c r="M45" i="1"/>
  <c r="M46" i="1"/>
  <c r="L39" i="1"/>
  <c r="L38" i="1"/>
  <c r="U19" i="1"/>
  <c r="U20" i="1"/>
  <c r="U17" i="1"/>
  <c r="U18" i="1" s="1"/>
  <c r="U12" i="1"/>
  <c r="U166" i="551"/>
  <c r="M58" i="1"/>
  <c r="M59" i="1" s="1"/>
  <c r="M51" i="1"/>
  <c r="M54" i="1" s="1"/>
  <c r="Z132" i="562"/>
  <c r="AA78" i="562"/>
  <c r="Z77" i="565"/>
  <c r="Y131" i="565"/>
  <c r="Z39" i="565" s="1"/>
  <c r="Z104" i="565" s="1"/>
  <c r="W155" i="562"/>
  <c r="V152" i="562"/>
  <c r="L38" i="411"/>
  <c r="L39" i="411"/>
  <c r="BN78" i="2"/>
  <c r="BN77" i="2"/>
  <c r="Y104" i="551"/>
  <c r="L45" i="411"/>
  <c r="L46" i="411"/>
  <c r="L54" i="411"/>
  <c r="V155" i="565"/>
  <c r="U152" i="565"/>
  <c r="W80" i="565"/>
  <c r="W153" i="565"/>
  <c r="Z116" i="551"/>
  <c r="AA24" i="551" s="1"/>
  <c r="AA62" i="551"/>
  <c r="K38" i="412"/>
  <c r="K39" i="412"/>
  <c r="X104" i="551"/>
  <c r="X131" i="551" s="1"/>
  <c r="Y39" i="551" s="1"/>
  <c r="AB62" i="565"/>
  <c r="AA116" i="565"/>
  <c r="AB24" i="565" s="1"/>
  <c r="W165" i="551"/>
  <c r="W57" i="551"/>
  <c r="W59" i="551" s="1"/>
  <c r="O29" i="1" s="1"/>
  <c r="Q17" i="412"/>
  <c r="Q18" i="412" s="1"/>
  <c r="Q19" i="412"/>
  <c r="Q20" i="412"/>
  <c r="Q12" i="412"/>
  <c r="BO106" i="2"/>
  <c r="BO107" i="2" s="1"/>
  <c r="BO100" i="2"/>
  <c r="BO101" i="2" s="1"/>
  <c r="AB78" i="551"/>
  <c r="BN91" i="2"/>
  <c r="CI89" i="2"/>
  <c r="N44" i="411"/>
  <c r="N32" i="411"/>
  <c r="N31" i="411"/>
  <c r="N68" i="411"/>
  <c r="N66" i="411" s="1"/>
  <c r="O48" i="411" s="1"/>
  <c r="N37" i="411"/>
  <c r="AA118" i="562"/>
  <c r="AB26" i="562" s="1"/>
  <c r="AB91" i="562" s="1"/>
  <c r="AB64" i="562"/>
  <c r="AC129" i="562"/>
  <c r="Y104" i="562"/>
  <c r="Y131" i="562" s="1"/>
  <c r="Z39" i="562" s="1"/>
  <c r="L45" i="1"/>
  <c r="L46" i="1"/>
  <c r="L54" i="1"/>
  <c r="Y42" i="562"/>
  <c r="L51" i="412"/>
  <c r="L58" i="412" s="1"/>
  <c r="L59" i="412" s="1"/>
  <c r="X40" i="565"/>
  <c r="Y131" i="551"/>
  <c r="Z39" i="551" s="1"/>
  <c r="Z104" i="551" s="1"/>
  <c r="Z77" i="551"/>
  <c r="M31" i="412"/>
  <c r="M44" i="412"/>
  <c r="M32" i="412"/>
  <c r="M68" i="412"/>
  <c r="M66" i="412" s="1"/>
  <c r="N48" i="412" s="1"/>
  <c r="M37" i="412"/>
  <c r="K45" i="412"/>
  <c r="K54" i="412"/>
  <c r="K46" i="412"/>
  <c r="W152" i="551"/>
  <c r="X155" i="551"/>
  <c r="T8" i="412"/>
  <c r="U9" i="412" s="1"/>
  <c r="U10" i="412" s="1"/>
  <c r="Z124" i="686"/>
  <c r="T125" i="686"/>
  <c r="T126" i="686" s="1"/>
  <c r="AA21" i="562"/>
  <c r="AA84" i="562" s="1"/>
  <c r="U125" i="686"/>
  <c r="U126" i="686" s="1"/>
  <c r="AA19" i="565"/>
  <c r="AA156" i="565"/>
  <c r="AA175" i="565" s="1"/>
  <c r="Z21" i="565"/>
  <c r="Z83" i="565" s="1"/>
  <c r="Z80" i="562"/>
  <c r="R25" i="412"/>
  <c r="R16" i="412"/>
  <c r="R26" i="412"/>
  <c r="Y78" i="565"/>
  <c r="AA79" i="562"/>
  <c r="L38" i="412"/>
  <c r="L39" i="412"/>
  <c r="AB63" i="562"/>
  <c r="AA117" i="562"/>
  <c r="AB25" i="562" s="1"/>
  <c r="AB90" i="562" s="1"/>
  <c r="Z41" i="562"/>
  <c r="T174" i="565"/>
  <c r="S179" i="565"/>
  <c r="S178" i="565" s="1"/>
  <c r="S193" i="565"/>
  <c r="Z79" i="565"/>
  <c r="Y133" i="565"/>
  <c r="U41" i="412"/>
  <c r="AC17" i="565" s="1"/>
  <c r="M39" i="411"/>
  <c r="M38" i="411"/>
  <c r="AC84" i="551"/>
  <c r="X103" i="562"/>
  <c r="X130" i="562" s="1"/>
  <c r="Y38" i="562" s="1"/>
  <c r="Y103" i="562" s="1"/>
  <c r="Y130" i="562" s="1"/>
  <c r="Z38" i="562" s="1"/>
  <c r="Z103" i="562" s="1"/>
  <c r="T167" i="565"/>
  <c r="T166" i="565"/>
  <c r="BL100" i="2"/>
  <c r="BL101" i="2" s="1"/>
  <c r="BL106" i="2"/>
  <c r="Z135" i="562"/>
  <c r="AA81" i="562"/>
  <c r="N51" i="411"/>
  <c r="N58" i="411" s="1"/>
  <c r="N59" i="411" s="1"/>
  <c r="Z117" i="551"/>
  <c r="AA25" i="551" s="1"/>
  <c r="AA90" i="551" s="1"/>
  <c r="AA63" i="551"/>
  <c r="CI78" i="2"/>
  <c r="CI77" i="2"/>
  <c r="Y44" i="562"/>
  <c r="Z82" i="562"/>
  <c r="AA43" i="551"/>
  <c r="T9" i="411"/>
  <c r="T10" i="411" s="1"/>
  <c r="T41" i="411"/>
  <c r="AB17" i="562" s="1"/>
  <c r="T24" i="411"/>
  <c r="U24" i="411" s="1"/>
  <c r="AB119" i="562"/>
  <c r="AC27" i="562" s="1"/>
  <c r="AC92" i="562" s="1"/>
  <c r="AC65" i="562"/>
  <c r="AC119" i="562" s="1"/>
  <c r="Y81" i="565"/>
  <c r="X43" i="565"/>
  <c r="M45" i="411"/>
  <c r="M46" i="411"/>
  <c r="M54" i="411"/>
  <c r="Z45" i="562"/>
  <c r="AA83" i="562"/>
  <c r="AB111" i="551"/>
  <c r="AB138" i="551" s="1"/>
  <c r="AC46" i="551" s="1"/>
  <c r="AA111" i="551"/>
  <c r="AA138" i="551" s="1"/>
  <c r="AB46" i="551" s="1"/>
  <c r="AC111" i="551" s="1"/>
  <c r="BM100" i="2"/>
  <c r="BM101" i="2" s="1"/>
  <c r="BM106" i="2"/>
  <c r="BM107" i="2" s="1"/>
  <c r="AA107" i="551" l="1"/>
  <c r="M55" i="1"/>
  <c r="M64" i="1"/>
  <c r="M71" i="1" s="1"/>
  <c r="M88" i="1" s="1"/>
  <c r="U16" i="411"/>
  <c r="U26" i="411"/>
  <c r="U25" i="411"/>
  <c r="Z89" i="562"/>
  <c r="U13" i="1"/>
  <c r="U14" i="1"/>
  <c r="W177" i="562"/>
  <c r="W192" i="562"/>
  <c r="L54" i="412"/>
  <c r="AA43" i="562"/>
  <c r="N45" i="411"/>
  <c r="N46" i="411"/>
  <c r="N54" i="411"/>
  <c r="W191" i="551"/>
  <c r="W170" i="551"/>
  <c r="AC62" i="565"/>
  <c r="AA62" i="562"/>
  <c r="Z116" i="562"/>
  <c r="AA24" i="562" s="1"/>
  <c r="S17" i="412"/>
  <c r="S18" i="412" s="1"/>
  <c r="S19" i="412"/>
  <c r="S20" i="412"/>
  <c r="S12" i="412"/>
  <c r="K55" i="412"/>
  <c r="K64" i="412"/>
  <c r="Y49" i="562"/>
  <c r="AA82" i="565"/>
  <c r="AC48" i="551"/>
  <c r="AC113" i="551" s="1"/>
  <c r="AC140" i="551" s="1"/>
  <c r="P34" i="411"/>
  <c r="P30" i="411"/>
  <c r="T9" i="412"/>
  <c r="T10" i="412" s="1"/>
  <c r="T41" i="412"/>
  <c r="AB17" i="565" s="1"/>
  <c r="T24" i="412"/>
  <c r="AB19" i="562"/>
  <c r="AB156" i="562"/>
  <c r="AB175" i="562" s="1"/>
  <c r="AB89" i="565"/>
  <c r="AB116" i="565" s="1"/>
  <c r="AC24" i="565" s="1"/>
  <c r="L55" i="1"/>
  <c r="L64" i="1"/>
  <c r="L71" i="1" s="1"/>
  <c r="L88" i="1" s="1"/>
  <c r="BN93" i="2"/>
  <c r="BN92" i="2"/>
  <c r="BN99" i="2"/>
  <c r="CI91" i="2"/>
  <c r="AB83" i="562"/>
  <c r="AA108" i="551"/>
  <c r="AA135" i="551" s="1"/>
  <c r="AB43" i="551" s="1"/>
  <c r="AB108" i="551" s="1"/>
  <c r="AB135" i="551" s="1"/>
  <c r="AC43" i="551" s="1"/>
  <c r="U166" i="565"/>
  <c r="R17" i="412"/>
  <c r="R18" i="412" s="1"/>
  <c r="R19" i="412"/>
  <c r="R20" i="412"/>
  <c r="R12" i="412"/>
  <c r="Y49" i="551"/>
  <c r="Y109" i="565"/>
  <c r="Y136" i="565" s="1"/>
  <c r="Z44" i="565" s="1"/>
  <c r="AB21" i="551"/>
  <c r="AB85" i="551" s="1"/>
  <c r="AC45" i="551"/>
  <c r="AC110" i="551" s="1"/>
  <c r="AC137" i="551" s="1"/>
  <c r="AA82" i="562"/>
  <c r="T162" i="565"/>
  <c r="T171" i="565" s="1"/>
  <c r="T172" i="565" s="1"/>
  <c r="U164" i="565"/>
  <c r="Z41" i="565"/>
  <c r="M38" i="412"/>
  <c r="M39" i="412"/>
  <c r="AC78" i="551"/>
  <c r="AB132" i="551"/>
  <c r="AC40" i="551" s="1"/>
  <c r="AC105" i="551" s="1"/>
  <c r="N31" i="412"/>
  <c r="N44" i="412"/>
  <c r="N32" i="412"/>
  <c r="N68" i="412"/>
  <c r="N66" i="412" s="1"/>
  <c r="O48" i="412" s="1"/>
  <c r="N37" i="412"/>
  <c r="Z153" i="562"/>
  <c r="X105" i="565"/>
  <c r="X132" i="565" s="1"/>
  <c r="Y40" i="565" s="1"/>
  <c r="Y105" i="565"/>
  <c r="Y132" i="565" s="1"/>
  <c r="Z40" i="565" s="1"/>
  <c r="AB79" i="562"/>
  <c r="U166" i="562"/>
  <c r="AB62" i="551"/>
  <c r="W159" i="562"/>
  <c r="AC41" i="551"/>
  <c r="AC106" i="551" s="1"/>
  <c r="AC133" i="551" s="1"/>
  <c r="AB118" i="565"/>
  <c r="AC26" i="565" s="1"/>
  <c r="AC91" i="565" s="1"/>
  <c r="AC64" i="565"/>
  <c r="AD63" i="753"/>
  <c r="AD66" i="753" s="1"/>
  <c r="AD58" i="753" s="1"/>
  <c r="AD59" i="753" s="1"/>
  <c r="AD60" i="753" s="1"/>
  <c r="AC58" i="753"/>
  <c r="AC59" i="753" s="1"/>
  <c r="AC60" i="753" s="1"/>
  <c r="S13" i="411"/>
  <c r="S14" i="411"/>
  <c r="U174" i="562"/>
  <c r="T179" i="562"/>
  <c r="T178" i="562" s="1"/>
  <c r="T193" i="562"/>
  <c r="BL107" i="2"/>
  <c r="M55" i="411"/>
  <c r="M64" i="411"/>
  <c r="M71" i="411" s="1"/>
  <c r="M88" i="411" s="1"/>
  <c r="Y109" i="562"/>
  <c r="Y136" i="562" s="1"/>
  <c r="Z44" i="562" s="1"/>
  <c r="Z109" i="562"/>
  <c r="Z136" i="562" s="1"/>
  <c r="AA44" i="562" s="1"/>
  <c r="AA109" i="562" s="1"/>
  <c r="Z45" i="565"/>
  <c r="AA83" i="565"/>
  <c r="M54" i="412"/>
  <c r="M46" i="412"/>
  <c r="M45" i="412"/>
  <c r="Z49" i="551"/>
  <c r="AB81" i="562"/>
  <c r="O34" i="1"/>
  <c r="O30" i="1"/>
  <c r="W177" i="551"/>
  <c r="W192" i="551"/>
  <c r="U24" i="412"/>
  <c r="AA79" i="565"/>
  <c r="AA80" i="562"/>
  <c r="V191" i="562"/>
  <c r="V170" i="562"/>
  <c r="AB118" i="562"/>
  <c r="AC26" i="562" s="1"/>
  <c r="AC91" i="562" s="1"/>
  <c r="AC64" i="562"/>
  <c r="Q13" i="412"/>
  <c r="Q14" i="412"/>
  <c r="AA89" i="551"/>
  <c r="AA116" i="551" s="1"/>
  <c r="AB24" i="551" s="1"/>
  <c r="N39" i="1"/>
  <c r="N38" i="1"/>
  <c r="AA134" i="551"/>
  <c r="AB42" i="551" s="1"/>
  <c r="AB107" i="551" s="1"/>
  <c r="AB80" i="551"/>
  <c r="X153" i="565"/>
  <c r="Z131" i="565"/>
  <c r="AA77" i="565"/>
  <c r="O51" i="1"/>
  <c r="O58" i="1" s="1"/>
  <c r="O59" i="1" s="1"/>
  <c r="AC136" i="551"/>
  <c r="X103" i="565"/>
  <c r="X130" i="565" s="1"/>
  <c r="Y38" i="565" s="1"/>
  <c r="Y103" i="565" s="1"/>
  <c r="Y130" i="565" s="1"/>
  <c r="Z38" i="565" s="1"/>
  <c r="AA153" i="551"/>
  <c r="T13" i="1"/>
  <c r="T14" i="1"/>
  <c r="X158" i="551"/>
  <c r="X159" i="551" s="1"/>
  <c r="N51" i="412"/>
  <c r="N58" i="412" s="1"/>
  <c r="N59" i="412" s="1"/>
  <c r="AA117" i="551"/>
  <c r="AB25" i="551" s="1"/>
  <c r="AB90" i="551" s="1"/>
  <c r="AB63" i="551"/>
  <c r="W42" i="565"/>
  <c r="X80" i="565"/>
  <c r="AB78" i="562"/>
  <c r="M59" i="412"/>
  <c r="Y107" i="562"/>
  <c r="Y134" i="562" s="1"/>
  <c r="Z42" i="562" s="1"/>
  <c r="Z107" i="562"/>
  <c r="Z134" i="562" s="1"/>
  <c r="AA42" i="562" s="1"/>
  <c r="AA107" i="562" s="1"/>
  <c r="Z78" i="565"/>
  <c r="Z110" i="562"/>
  <c r="Z137" i="562" s="1"/>
  <c r="AA45" i="562" s="1"/>
  <c r="AA110" i="562" s="1"/>
  <c r="AA137" i="562" s="1"/>
  <c r="AB45" i="562" s="1"/>
  <c r="Z106" i="562"/>
  <c r="Z133" i="562" s="1"/>
  <c r="AA41" i="562" s="1"/>
  <c r="X108" i="565"/>
  <c r="X135" i="565" s="1"/>
  <c r="Y43" i="565" s="1"/>
  <c r="Y108" i="565" s="1"/>
  <c r="Y135" i="565" s="1"/>
  <c r="Z43" i="565" s="1"/>
  <c r="AC138" i="551"/>
  <c r="U191" i="565"/>
  <c r="U170" i="565"/>
  <c r="AA40" i="562"/>
  <c r="AA105" i="562" s="1"/>
  <c r="AA132" i="562" s="1"/>
  <c r="AB40" i="562" s="1"/>
  <c r="AB105" i="562" s="1"/>
  <c r="X177" i="551"/>
  <c r="X192" i="551"/>
  <c r="O51" i="411"/>
  <c r="O58" i="411" s="1"/>
  <c r="O59" i="411" s="1"/>
  <c r="T26" i="411"/>
  <c r="T25" i="411"/>
  <c r="T16" i="411"/>
  <c r="AC19" i="565"/>
  <c r="AC156" i="565"/>
  <c r="AC175" i="565" s="1"/>
  <c r="AA21" i="565"/>
  <c r="AA84" i="565" s="1"/>
  <c r="Z81" i="565"/>
  <c r="AB117" i="562"/>
  <c r="AC25" i="562" s="1"/>
  <c r="AC90" i="562" s="1"/>
  <c r="AC63" i="562"/>
  <c r="AC117" i="562" s="1"/>
  <c r="AA46" i="562"/>
  <c r="AB84" i="562"/>
  <c r="Z131" i="551"/>
  <c r="AA77" i="551"/>
  <c r="N39" i="411"/>
  <c r="N38" i="411"/>
  <c r="V158" i="565"/>
  <c r="N45" i="1"/>
  <c r="N46" i="1"/>
  <c r="N54" i="1"/>
  <c r="P34" i="1"/>
  <c r="P30" i="1"/>
  <c r="AB77" i="562"/>
  <c r="AC81" i="551"/>
  <c r="L55" i="411"/>
  <c r="L64" i="411"/>
  <c r="L71" i="411" s="1"/>
  <c r="L88" i="411" s="1"/>
  <c r="N59" i="1"/>
  <c r="AA20" i="565"/>
  <c r="CH107" i="2"/>
  <c r="J64" i="412"/>
  <c r="J63" i="412" s="1"/>
  <c r="J64" i="411"/>
  <c r="J63" i="411" s="1"/>
  <c r="J64" i="1"/>
  <c r="J63" i="1" s="1"/>
  <c r="Z76" i="565"/>
  <c r="Z130" i="562"/>
  <c r="AA38" i="562" s="1"/>
  <c r="AA103" i="562" s="1"/>
  <c r="AA76" i="562"/>
  <c r="U167" i="551"/>
  <c r="Z104" i="562"/>
  <c r="Z131" i="562" s="1"/>
  <c r="AA39" i="562" s="1"/>
  <c r="AA104" i="562" s="1"/>
  <c r="AA131" i="562" s="1"/>
  <c r="AB39" i="562" s="1"/>
  <c r="AB104" i="562" s="1"/>
  <c r="CH118" i="2"/>
  <c r="BK119" i="2"/>
  <c r="CH119" i="2" s="1"/>
  <c r="BL118" i="2"/>
  <c r="AC117" i="565"/>
  <c r="U174" i="551"/>
  <c r="T193" i="551"/>
  <c r="T179" i="551"/>
  <c r="T178" i="551" s="1"/>
  <c r="O34" i="411"/>
  <c r="O30" i="411"/>
  <c r="Z105" i="565" l="1"/>
  <c r="AB89" i="551"/>
  <c r="Y155" i="551"/>
  <c r="X152" i="551"/>
  <c r="Z103" i="565"/>
  <c r="AB110" i="562"/>
  <c r="AB137" i="562" s="1"/>
  <c r="AC45" i="562" s="1"/>
  <c r="AC110" i="562" s="1"/>
  <c r="AC89" i="565"/>
  <c r="AC116" i="565" s="1"/>
  <c r="Z108" i="565"/>
  <c r="O44" i="411"/>
  <c r="O32" i="411"/>
  <c r="O31" i="411"/>
  <c r="O68" i="411"/>
  <c r="O66" i="411" s="1"/>
  <c r="P48" i="411" s="1"/>
  <c r="O37" i="411"/>
  <c r="AC21" i="565"/>
  <c r="AC86" i="565" s="1"/>
  <c r="T19" i="411"/>
  <c r="T20" i="411"/>
  <c r="T17" i="411"/>
  <c r="T18" i="411" s="1"/>
  <c r="T12" i="411"/>
  <c r="V159" i="565"/>
  <c r="AA106" i="562"/>
  <c r="AA133" i="562" s="1"/>
  <c r="AB41" i="562" s="1"/>
  <c r="AB106" i="562" s="1"/>
  <c r="AB133" i="562" s="1"/>
  <c r="AC41" i="562" s="1"/>
  <c r="AC106" i="562" s="1"/>
  <c r="N38" i="412"/>
  <c r="N39" i="412"/>
  <c r="Y80" i="565"/>
  <c r="AB20" i="565"/>
  <c r="AC20" i="565" s="1"/>
  <c r="AC118" i="562"/>
  <c r="Z109" i="565"/>
  <c r="Z136" i="565" s="1"/>
  <c r="AA44" i="565" s="1"/>
  <c r="AC108" i="551"/>
  <c r="AC135" i="551" s="1"/>
  <c r="AB19" i="565"/>
  <c r="AB156" i="565"/>
  <c r="AB175" i="565" s="1"/>
  <c r="AC83" i="562"/>
  <c r="N54" i="412"/>
  <c r="N45" i="412"/>
  <c r="N46" i="412"/>
  <c r="AA39" i="551"/>
  <c r="AB117" i="551"/>
  <c r="AC25" i="551" s="1"/>
  <c r="AC90" i="551" s="1"/>
  <c r="AC63" i="551"/>
  <c r="P31" i="411"/>
  <c r="P44" i="411"/>
  <c r="P32" i="411"/>
  <c r="P68" i="411"/>
  <c r="P66" i="411" s="1"/>
  <c r="Q48" i="411" s="1"/>
  <c r="P37" i="411"/>
  <c r="Z57" i="551"/>
  <c r="Z59" i="551" s="1"/>
  <c r="R29" i="1" s="1"/>
  <c r="Z165" i="551"/>
  <c r="BM118" i="2"/>
  <c r="BL119" i="2"/>
  <c r="AC84" i="562"/>
  <c r="AB138" i="562"/>
  <c r="AC79" i="562"/>
  <c r="CI93" i="2"/>
  <c r="CI92" i="2"/>
  <c r="AA49" i="562"/>
  <c r="AA89" i="562"/>
  <c r="BN106" i="2"/>
  <c r="BN100" i="2"/>
  <c r="BN101" i="2" s="1"/>
  <c r="CI99" i="2"/>
  <c r="CI100" i="2" s="1"/>
  <c r="CI101" i="2" s="1"/>
  <c r="AA116" i="562"/>
  <c r="AB24" i="562" s="1"/>
  <c r="AB62" i="562"/>
  <c r="Z49" i="562"/>
  <c r="AB77" i="565"/>
  <c r="M55" i="412"/>
  <c r="M64" i="412"/>
  <c r="M71" i="412" s="1"/>
  <c r="M88" i="412" s="1"/>
  <c r="Y57" i="551"/>
  <c r="Y59" i="551" s="1"/>
  <c r="Q29" i="1" s="1"/>
  <c r="Y165" i="551"/>
  <c r="AA111" i="562"/>
  <c r="AA138" i="562" s="1"/>
  <c r="AB46" i="562" s="1"/>
  <c r="AB111" i="562"/>
  <c r="AA39" i="565"/>
  <c r="AB83" i="565"/>
  <c r="AB131" i="562"/>
  <c r="AC39" i="562" s="1"/>
  <c r="AC104" i="562" s="1"/>
  <c r="AC77" i="562"/>
  <c r="Y158" i="551"/>
  <c r="AA134" i="562"/>
  <c r="AB80" i="562"/>
  <c r="R13" i="412"/>
  <c r="R14" i="412"/>
  <c r="AC132" i="551"/>
  <c r="J67" i="411"/>
  <c r="J68" i="411" s="1"/>
  <c r="J67" i="412"/>
  <c r="J68" i="412" s="1"/>
  <c r="J67" i="1"/>
  <c r="J68" i="1" s="1"/>
  <c r="AB82" i="565"/>
  <c r="AA78" i="565"/>
  <c r="Z132" i="565"/>
  <c r="Y153" i="565"/>
  <c r="U162" i="551"/>
  <c r="U171" i="551" s="1"/>
  <c r="U172" i="551" s="1"/>
  <c r="V164" i="551"/>
  <c r="Z110" i="565"/>
  <c r="Z137" i="565" s="1"/>
  <c r="AA45" i="565" s="1"/>
  <c r="AA110" i="565"/>
  <c r="AA137" i="565" s="1"/>
  <c r="AB45" i="565" s="1"/>
  <c r="Z106" i="565"/>
  <c r="Z133" i="565" s="1"/>
  <c r="AA41" i="565" s="1"/>
  <c r="AB76" i="562"/>
  <c r="AA130" i="562"/>
  <c r="AB38" i="562" s="1"/>
  <c r="AB103" i="562" s="1"/>
  <c r="P31" i="1"/>
  <c r="P44" i="1"/>
  <c r="P32" i="1"/>
  <c r="P68" i="1"/>
  <c r="P66" i="1" s="1"/>
  <c r="Q48" i="1" s="1"/>
  <c r="P37" i="1"/>
  <c r="AB134" i="551"/>
  <c r="AC80" i="551"/>
  <c r="AB79" i="565"/>
  <c r="AC118" i="565"/>
  <c r="U167" i="565"/>
  <c r="U19" i="411"/>
  <c r="U20" i="411"/>
  <c r="U17" i="411"/>
  <c r="U18" i="411" s="1"/>
  <c r="U12" i="411"/>
  <c r="AB77" i="551"/>
  <c r="AB153" i="551"/>
  <c r="T179" i="565"/>
  <c r="T178" i="565" s="1"/>
  <c r="T193" i="565"/>
  <c r="U174" i="565"/>
  <c r="Y165" i="562"/>
  <c r="Y57" i="562"/>
  <c r="Y59" i="562" s="1"/>
  <c r="Q29" i="411" s="1"/>
  <c r="N55" i="411"/>
  <c r="N64" i="411"/>
  <c r="N71" i="411" s="1"/>
  <c r="N88" i="411" s="1"/>
  <c r="U26" i="412"/>
  <c r="U25" i="412"/>
  <c r="U16" i="412"/>
  <c r="K71" i="412"/>
  <c r="W107" i="565"/>
  <c r="W134" i="565" s="1"/>
  <c r="X42" i="565" s="1"/>
  <c r="X49" i="565" s="1"/>
  <c r="W49" i="565"/>
  <c r="Z135" i="565"/>
  <c r="AA81" i="565"/>
  <c r="Z130" i="565"/>
  <c r="AA38" i="565" s="1"/>
  <c r="AA76" i="565"/>
  <c r="N64" i="1"/>
  <c r="N71" i="1" s="1"/>
  <c r="N88" i="1" s="1"/>
  <c r="N55" i="1"/>
  <c r="AA46" i="565"/>
  <c r="AB84" i="565"/>
  <c r="W152" i="562"/>
  <c r="X155" i="562"/>
  <c r="AA136" i="562"/>
  <c r="AB82" i="562"/>
  <c r="AB20" i="562"/>
  <c r="AC20" i="562" s="1"/>
  <c r="AC21" i="562" s="1"/>
  <c r="AC86" i="562" s="1"/>
  <c r="S14" i="412"/>
  <c r="S13" i="412"/>
  <c r="AA108" i="562"/>
  <c r="AA135" i="562" s="1"/>
  <c r="AB43" i="562" s="1"/>
  <c r="AB108" i="562" s="1"/>
  <c r="AB135" i="562" s="1"/>
  <c r="AC43" i="562" s="1"/>
  <c r="AB132" i="562"/>
  <c r="AC40" i="562" s="1"/>
  <c r="AC105" i="562" s="1"/>
  <c r="AC78" i="562"/>
  <c r="O31" i="1"/>
  <c r="O44" i="1"/>
  <c r="O32" i="1"/>
  <c r="O68" i="1"/>
  <c r="O66" i="1" s="1"/>
  <c r="P48" i="1" s="1"/>
  <c r="O37" i="1"/>
  <c r="AB47" i="551"/>
  <c r="AC85" i="551"/>
  <c r="L55" i="412"/>
  <c r="L64" i="412"/>
  <c r="L71" i="412" s="1"/>
  <c r="L88" i="412" s="1"/>
  <c r="AB116" i="551"/>
  <c r="AC24" i="551" s="1"/>
  <c r="AC62" i="551"/>
  <c r="AA153" i="562"/>
  <c r="AC81" i="562"/>
  <c r="U167" i="562"/>
  <c r="O51" i="412"/>
  <c r="O58" i="412"/>
  <c r="O59" i="412" s="1"/>
  <c r="T26" i="412"/>
  <c r="T25" i="412"/>
  <c r="T16" i="412"/>
  <c r="AB106" i="565" l="1"/>
  <c r="AB110" i="565"/>
  <c r="X158" i="562"/>
  <c r="W191" i="562"/>
  <c r="W170" i="562"/>
  <c r="V167" i="551"/>
  <c r="V166" i="551"/>
  <c r="X57" i="565"/>
  <c r="X59" i="565" s="1"/>
  <c r="P29" i="412" s="1"/>
  <c r="X165" i="565"/>
  <c r="V174" i="551"/>
  <c r="U193" i="551"/>
  <c r="U179" i="551"/>
  <c r="U178" i="551" s="1"/>
  <c r="O45" i="1"/>
  <c r="O46" i="1"/>
  <c r="O54" i="1"/>
  <c r="AA111" i="565"/>
  <c r="AA138" i="565" s="1"/>
  <c r="AB46" i="565" s="1"/>
  <c r="AB111" i="565"/>
  <c r="U17" i="412"/>
  <c r="U18" i="412" s="1"/>
  <c r="U19" i="412"/>
  <c r="U20" i="412"/>
  <c r="U12" i="412"/>
  <c r="Z153" i="565"/>
  <c r="Z57" i="562"/>
  <c r="Z59" i="562" s="1"/>
  <c r="R29" i="411" s="1"/>
  <c r="Z165" i="562"/>
  <c r="BM119" i="2"/>
  <c r="BN118" i="2"/>
  <c r="AC132" i="562"/>
  <c r="P45" i="1"/>
  <c r="P46" i="1"/>
  <c r="AA40" i="565"/>
  <c r="AC131" i="562"/>
  <c r="Z177" i="551"/>
  <c r="Z192" i="551"/>
  <c r="AB112" i="551"/>
  <c r="AB139" i="551" s="1"/>
  <c r="O39" i="1"/>
  <c r="O38" i="1"/>
  <c r="AC77" i="565"/>
  <c r="V164" i="562"/>
  <c r="U162" i="562"/>
  <c r="U171" i="562" s="1"/>
  <c r="U172" i="562" s="1"/>
  <c r="AB78" i="565"/>
  <c r="AC62" i="562"/>
  <c r="R34" i="1"/>
  <c r="R30" i="1"/>
  <c r="AC108" i="562"/>
  <c r="AC135" i="562" s="1"/>
  <c r="AA130" i="565"/>
  <c r="AB38" i="565" s="1"/>
  <c r="AB76" i="565"/>
  <c r="AB89" i="562"/>
  <c r="AB116" i="562" s="1"/>
  <c r="AC24" i="562" s="1"/>
  <c r="P39" i="411"/>
  <c r="P38" i="411"/>
  <c r="AB21" i="565"/>
  <c r="AB85" i="565" s="1"/>
  <c r="AB137" i="565"/>
  <c r="AC83" i="565"/>
  <c r="AA43" i="565"/>
  <c r="V164" i="565"/>
  <c r="U162" i="565"/>
  <c r="U171" i="565" s="1"/>
  <c r="U172" i="565" s="1"/>
  <c r="BN107" i="2"/>
  <c r="CI106" i="2"/>
  <c r="CI107" i="2" s="1"/>
  <c r="P45" i="411"/>
  <c r="P46" i="411"/>
  <c r="Q34" i="411"/>
  <c r="Q30" i="411"/>
  <c r="W57" i="565"/>
  <c r="W59" i="565" s="1"/>
  <c r="O29" i="412" s="1"/>
  <c r="W165" i="565"/>
  <c r="Y177" i="562"/>
  <c r="Y192" i="562"/>
  <c r="AA106" i="565"/>
  <c r="AA133" i="565" s="1"/>
  <c r="AB41" i="565" s="1"/>
  <c r="J69" i="1"/>
  <c r="J77" i="1"/>
  <c r="J78" i="1"/>
  <c r="J79" i="1"/>
  <c r="K71" i="1"/>
  <c r="AC116" i="551"/>
  <c r="AA103" i="565"/>
  <c r="AB130" i="562"/>
  <c r="AC38" i="562" s="1"/>
  <c r="AC103" i="562" s="1"/>
  <c r="AC76" i="562"/>
  <c r="AC82" i="565"/>
  <c r="Q51" i="411"/>
  <c r="Q58" i="411"/>
  <c r="Q59" i="411" s="1"/>
  <c r="AC89" i="551"/>
  <c r="AB81" i="565"/>
  <c r="AA104" i="565"/>
  <c r="AA131" i="565" s="1"/>
  <c r="AB39" i="565" s="1"/>
  <c r="AB104" i="565" s="1"/>
  <c r="AB131" i="565" s="1"/>
  <c r="AC39" i="565" s="1"/>
  <c r="AC104" i="565" s="1"/>
  <c r="AA109" i="565"/>
  <c r="AA136" i="565" s="1"/>
  <c r="AB44" i="565" s="1"/>
  <c r="AB109" i="565" s="1"/>
  <c r="AB136" i="565" s="1"/>
  <c r="AC44" i="565" s="1"/>
  <c r="AC48" i="562"/>
  <c r="AC113" i="562" s="1"/>
  <c r="AC140" i="562"/>
  <c r="J69" i="412"/>
  <c r="J78" i="412"/>
  <c r="J79" i="412"/>
  <c r="J77" i="412"/>
  <c r="AA165" i="562"/>
  <c r="AA177" i="562" s="1"/>
  <c r="AA57" i="562"/>
  <c r="AA59" i="562" s="1"/>
  <c r="S29" i="411" s="1"/>
  <c r="Z80" i="565"/>
  <c r="AC48" i="565"/>
  <c r="AC113" i="565" s="1"/>
  <c r="AC140" i="565" s="1"/>
  <c r="T17" i="412"/>
  <c r="T18" i="412" s="1"/>
  <c r="T19" i="412"/>
  <c r="T20" i="412"/>
  <c r="T12" i="412"/>
  <c r="AC47" i="551"/>
  <c r="AC112" i="551" s="1"/>
  <c r="AC139" i="551" s="1"/>
  <c r="AB21" i="562"/>
  <c r="AB85" i="562" s="1"/>
  <c r="AC79" i="565"/>
  <c r="AB133" i="565"/>
  <c r="AC41" i="565" s="1"/>
  <c r="AC106" i="565" s="1"/>
  <c r="J69" i="411"/>
  <c r="J79" i="411"/>
  <c r="J77" i="411"/>
  <c r="J78" i="411"/>
  <c r="K71" i="411"/>
  <c r="Y177" i="551"/>
  <c r="Y192" i="551"/>
  <c r="AC117" i="551"/>
  <c r="O39" i="411"/>
  <c r="O38" i="411"/>
  <c r="P51" i="411"/>
  <c r="P54" i="411" s="1"/>
  <c r="P58" i="411"/>
  <c r="P59" i="411" s="1"/>
  <c r="X170" i="551"/>
  <c r="X191" i="551"/>
  <c r="Q34" i="1"/>
  <c r="Q30" i="1"/>
  <c r="AB44" i="562"/>
  <c r="X107" i="565"/>
  <c r="X134" i="565" s="1"/>
  <c r="Y42" i="565" s="1"/>
  <c r="AC153" i="551"/>
  <c r="AC134" i="551"/>
  <c r="AC133" i="562"/>
  <c r="AA49" i="551"/>
  <c r="AA104" i="551"/>
  <c r="AA131" i="551" s="1"/>
  <c r="AB39" i="551" s="1"/>
  <c r="AB49" i="551" s="1"/>
  <c r="Y159" i="551"/>
  <c r="AC42" i="551"/>
  <c r="AC107" i="551" s="1"/>
  <c r="AC82" i="562"/>
  <c r="O45" i="411"/>
  <c r="O46" i="411"/>
  <c r="O54" i="411"/>
  <c r="N55" i="412"/>
  <c r="N64" i="412"/>
  <c r="N71" i="412" s="1"/>
  <c r="N88" i="412" s="1"/>
  <c r="AC77" i="551"/>
  <c r="P38" i="1"/>
  <c r="P39" i="1"/>
  <c r="AC80" i="562"/>
  <c r="AB134" i="562"/>
  <c r="AC42" i="562" s="1"/>
  <c r="AC107" i="562" s="1"/>
  <c r="AB138" i="565"/>
  <c r="AC84" i="565"/>
  <c r="K73" i="412"/>
  <c r="K88" i="412"/>
  <c r="U13" i="411"/>
  <c r="U14" i="411"/>
  <c r="Q51" i="1"/>
  <c r="Q58" i="1" s="1"/>
  <c r="Q59" i="1" s="1"/>
  <c r="AB42" i="562"/>
  <c r="AB107" i="562" s="1"/>
  <c r="V152" i="565"/>
  <c r="W155" i="565"/>
  <c r="P51" i="1"/>
  <c r="P54" i="1" s="1"/>
  <c r="P58" i="1"/>
  <c r="P59" i="1" s="1"/>
  <c r="AC46" i="562"/>
  <c r="AC111" i="562" s="1"/>
  <c r="AC138" i="562" s="1"/>
  <c r="AC137" i="562"/>
  <c r="T13" i="411"/>
  <c r="T14" i="411"/>
  <c r="P55" i="1" l="1"/>
  <c r="P64" i="1"/>
  <c r="P71" i="1" s="1"/>
  <c r="P88" i="1" s="1"/>
  <c r="P55" i="411"/>
  <c r="P64" i="411"/>
  <c r="P71" i="411" s="1"/>
  <c r="P88" i="411" s="1"/>
  <c r="AC89" i="562"/>
  <c r="AC116" i="562" s="1"/>
  <c r="AC134" i="562"/>
  <c r="AC130" i="562"/>
  <c r="AC76" i="565"/>
  <c r="AC138" i="565"/>
  <c r="AB103" i="565"/>
  <c r="AB130" i="565" s="1"/>
  <c r="AC38" i="565" s="1"/>
  <c r="AA153" i="565"/>
  <c r="L73" i="412"/>
  <c r="K74" i="412"/>
  <c r="K81" i="412"/>
  <c r="K80" i="412"/>
  <c r="AF80" i="412" s="1"/>
  <c r="K82" i="412"/>
  <c r="K77" i="412"/>
  <c r="K79" i="412"/>
  <c r="K78" i="412"/>
  <c r="AC46" i="565"/>
  <c r="AC111" i="565" s="1"/>
  <c r="AB104" i="551"/>
  <c r="AB131" i="551" s="1"/>
  <c r="AC39" i="551" s="1"/>
  <c r="AA165" i="551"/>
  <c r="AA57" i="551"/>
  <c r="AA59" i="551" s="1"/>
  <c r="S29" i="1" s="1"/>
  <c r="U14" i="412"/>
  <c r="U13" i="412"/>
  <c r="Y152" i="551"/>
  <c r="Z155" i="551"/>
  <c r="AC109" i="565"/>
  <c r="AC136" i="565" s="1"/>
  <c r="R31" i="1"/>
  <c r="R44" i="1"/>
  <c r="R32" i="1"/>
  <c r="R68" i="1"/>
  <c r="R66" i="1" s="1"/>
  <c r="S48" i="1" s="1"/>
  <c r="R37" i="1"/>
  <c r="X177" i="565"/>
  <c r="X192" i="565"/>
  <c r="P34" i="412"/>
  <c r="P30" i="412"/>
  <c r="K88" i="1"/>
  <c r="K73" i="1"/>
  <c r="W159" i="565"/>
  <c r="W158" i="565"/>
  <c r="K73" i="411"/>
  <c r="K88" i="411"/>
  <c r="V174" i="565"/>
  <c r="U179" i="565"/>
  <c r="U178" i="565" s="1"/>
  <c r="U193" i="565"/>
  <c r="AA105" i="565"/>
  <c r="AA132" i="565" s="1"/>
  <c r="AB40" i="565" s="1"/>
  <c r="AB105" i="565" s="1"/>
  <c r="AB132" i="565" s="1"/>
  <c r="AC40" i="565" s="1"/>
  <c r="AC105" i="565" s="1"/>
  <c r="V162" i="551"/>
  <c r="V171" i="551" s="1"/>
  <c r="V172" i="551" s="1"/>
  <c r="W164" i="551"/>
  <c r="V191" i="565"/>
  <c r="V170" i="565"/>
  <c r="Y107" i="565"/>
  <c r="Y134" i="565" s="1"/>
  <c r="Z42" i="565" s="1"/>
  <c r="Y49" i="565"/>
  <c r="V166" i="565"/>
  <c r="AC78" i="565"/>
  <c r="O55" i="411"/>
  <c r="O64" i="411"/>
  <c r="O71" i="411" s="1"/>
  <c r="O88" i="411" s="1"/>
  <c r="AC109" i="562"/>
  <c r="AB109" i="562"/>
  <c r="AB136" i="562" s="1"/>
  <c r="AC44" i="562" s="1"/>
  <c r="AA80" i="565"/>
  <c r="AC81" i="565"/>
  <c r="AA108" i="565"/>
  <c r="AA135" i="565" s="1"/>
  <c r="AB43" i="565" s="1"/>
  <c r="AB108" i="565" s="1"/>
  <c r="AB135" i="565" s="1"/>
  <c r="AC43" i="565" s="1"/>
  <c r="AC108" i="565" s="1"/>
  <c r="AC137" i="565"/>
  <c r="AA192" i="562"/>
  <c r="S34" i="411"/>
  <c r="S30" i="411"/>
  <c r="AC45" i="565"/>
  <c r="AC110" i="565" s="1"/>
  <c r="AB153" i="562"/>
  <c r="X159" i="562"/>
  <c r="AC133" i="565"/>
  <c r="AC136" i="562"/>
  <c r="AB47" i="565"/>
  <c r="AC85" i="565"/>
  <c r="U193" i="562"/>
  <c r="V174" i="562"/>
  <c r="U179" i="562"/>
  <c r="U178" i="562" s="1"/>
  <c r="BO118" i="2"/>
  <c r="BN119" i="2"/>
  <c r="Q44" i="1"/>
  <c r="Q31" i="1"/>
  <c r="Q32" i="1"/>
  <c r="Q68" i="1"/>
  <c r="Q66" i="1" s="1"/>
  <c r="R48" i="1" s="1"/>
  <c r="Q37" i="1"/>
  <c r="AB47" i="562"/>
  <c r="AC85" i="562"/>
  <c r="V166" i="562"/>
  <c r="V167" i="562" s="1"/>
  <c r="O55" i="1"/>
  <c r="O64" i="1"/>
  <c r="O71" i="1" s="1"/>
  <c r="O88" i="1" s="1"/>
  <c r="W177" i="565"/>
  <c r="W192" i="565"/>
  <c r="AC131" i="565"/>
  <c r="Z177" i="562"/>
  <c r="Z192" i="562"/>
  <c r="O34" i="412"/>
  <c r="O30" i="412"/>
  <c r="R34" i="411"/>
  <c r="R30" i="411"/>
  <c r="AB57" i="551"/>
  <c r="AB59" i="551" s="1"/>
  <c r="T29" i="1" s="1"/>
  <c r="AB165" i="551"/>
  <c r="T14" i="412"/>
  <c r="T13" i="412"/>
  <c r="Q31" i="411"/>
  <c r="Q44" i="411"/>
  <c r="Q32" i="411"/>
  <c r="Q68" i="411"/>
  <c r="Q66" i="411" s="1"/>
  <c r="R48" i="411" s="1"/>
  <c r="Q37" i="411"/>
  <c r="AB49" i="562"/>
  <c r="AC103" i="565" l="1"/>
  <c r="AC130" i="565" s="1"/>
  <c r="V162" i="562"/>
  <c r="V171" i="562" s="1"/>
  <c r="V172" i="562" s="1"/>
  <c r="W164" i="562"/>
  <c r="W152" i="565"/>
  <c r="X155" i="565"/>
  <c r="Z158" i="551"/>
  <c r="L74" i="412"/>
  <c r="M73" i="412"/>
  <c r="L82" i="412"/>
  <c r="L81" i="412"/>
  <c r="L79" i="412"/>
  <c r="L77" i="412"/>
  <c r="L80" i="412"/>
  <c r="AG80" i="412" s="1"/>
  <c r="L78" i="412"/>
  <c r="Y191" i="551"/>
  <c r="Y170" i="551"/>
  <c r="AC112" i="565"/>
  <c r="AC139" i="565" s="1"/>
  <c r="AB112" i="565"/>
  <c r="AB139" i="565" s="1"/>
  <c r="AC135" i="565"/>
  <c r="AB153" i="565"/>
  <c r="K81" i="1"/>
  <c r="AF81" i="1" s="1"/>
  <c r="K74" i="1"/>
  <c r="K80" i="1"/>
  <c r="AF80" i="1" s="1"/>
  <c r="K79" i="1"/>
  <c r="L73" i="1"/>
  <c r="K82" i="1"/>
  <c r="K77" i="1"/>
  <c r="K78" i="1"/>
  <c r="AB177" i="551"/>
  <c r="AB192" i="551"/>
  <c r="AC47" i="562"/>
  <c r="AC49" i="562" s="1"/>
  <c r="AC139" i="562"/>
  <c r="AB80" i="565"/>
  <c r="T34" i="1"/>
  <c r="T30" i="1"/>
  <c r="W167" i="551"/>
  <c r="P31" i="412"/>
  <c r="P32" i="412"/>
  <c r="P44" i="412"/>
  <c r="P68" i="412"/>
  <c r="P66" i="412" s="1"/>
  <c r="Q48" i="412" s="1"/>
  <c r="P37" i="412"/>
  <c r="S34" i="1"/>
  <c r="S30" i="1"/>
  <c r="W174" i="551"/>
  <c r="V193" i="551"/>
  <c r="V179" i="551"/>
  <c r="V178" i="551" s="1"/>
  <c r="AA177" i="551"/>
  <c r="AA192" i="551"/>
  <c r="AC49" i="551"/>
  <c r="AC104" i="551"/>
  <c r="AC131" i="551" s="1"/>
  <c r="AB112" i="562"/>
  <c r="AB139" i="562" s="1"/>
  <c r="AC112" i="562"/>
  <c r="R31" i="411"/>
  <c r="R44" i="411"/>
  <c r="R32" i="411"/>
  <c r="R68" i="411"/>
  <c r="R66" i="411" s="1"/>
  <c r="S48" i="411" s="1"/>
  <c r="R37" i="411"/>
  <c r="Q38" i="1"/>
  <c r="Q39" i="1"/>
  <c r="X152" i="562"/>
  <c r="Y155" i="562"/>
  <c r="O31" i="412"/>
  <c r="O44" i="412"/>
  <c r="O32" i="412"/>
  <c r="O68" i="412"/>
  <c r="O66" i="412" s="1"/>
  <c r="P48" i="412" s="1"/>
  <c r="O37" i="412"/>
  <c r="AC153" i="562"/>
  <c r="AB192" i="562"/>
  <c r="R58" i="1"/>
  <c r="R59" i="1" s="1"/>
  <c r="R51" i="1"/>
  <c r="R38" i="1"/>
  <c r="R39" i="1"/>
  <c r="Q45" i="1"/>
  <c r="Q54" i="1"/>
  <c r="Q46" i="1"/>
  <c r="S31" i="411"/>
  <c r="S44" i="411"/>
  <c r="S32" i="411"/>
  <c r="S68" i="411"/>
  <c r="S66" i="411" s="1"/>
  <c r="T48" i="411" s="1"/>
  <c r="S37" i="411"/>
  <c r="S51" i="1"/>
  <c r="S58" i="1" s="1"/>
  <c r="S59" i="1" s="1"/>
  <c r="BO119" i="2"/>
  <c r="CI119" i="2" s="1"/>
  <c r="CI118" i="2"/>
  <c r="R54" i="1"/>
  <c r="R45" i="1"/>
  <c r="R46" i="1"/>
  <c r="AB165" i="562"/>
  <c r="AB177" i="562" s="1"/>
  <c r="AB57" i="562"/>
  <c r="AB59" i="562" s="1"/>
  <c r="T29" i="411" s="1"/>
  <c r="AC132" i="565"/>
  <c r="R51" i="411"/>
  <c r="R58" i="411" s="1"/>
  <c r="R59" i="411" s="1"/>
  <c r="V167" i="565"/>
  <c r="Q38" i="411"/>
  <c r="Q39" i="411"/>
  <c r="Y165" i="565"/>
  <c r="Y57" i="565"/>
  <c r="Y59" i="565" s="1"/>
  <c r="Q29" i="412" s="1"/>
  <c r="K74" i="411"/>
  <c r="L73" i="411"/>
  <c r="K78" i="411"/>
  <c r="K80" i="411"/>
  <c r="AF80" i="411" s="1"/>
  <c r="K77" i="411"/>
  <c r="K82" i="411"/>
  <c r="K81" i="411"/>
  <c r="K79" i="411"/>
  <c r="Q45" i="411"/>
  <c r="Q46" i="411"/>
  <c r="Q54" i="411"/>
  <c r="Z49" i="565"/>
  <c r="Z107" i="565"/>
  <c r="Z134" i="565" s="1"/>
  <c r="AA42" i="565" s="1"/>
  <c r="AA49" i="565" s="1"/>
  <c r="X158" i="565"/>
  <c r="W166" i="562"/>
  <c r="AC47" i="565"/>
  <c r="W166" i="551"/>
  <c r="AC57" i="562" l="1"/>
  <c r="AC59" i="562" s="1"/>
  <c r="U29" i="411" s="1"/>
  <c r="AC165" i="562"/>
  <c r="AC177" i="562" s="1"/>
  <c r="R38" i="411"/>
  <c r="R39" i="411"/>
  <c r="AA107" i="565"/>
  <c r="AA134" i="565" s="1"/>
  <c r="AB42" i="565" s="1"/>
  <c r="P38" i="412"/>
  <c r="P39" i="412"/>
  <c r="Q51" i="412"/>
  <c r="Q58" i="412" s="1"/>
  <c r="Q59" i="412" s="1"/>
  <c r="L74" i="411"/>
  <c r="M73" i="411"/>
  <c r="L79" i="411"/>
  <c r="L81" i="411"/>
  <c r="L80" i="411"/>
  <c r="AG80" i="411" s="1"/>
  <c r="L78" i="411"/>
  <c r="L77" i="411"/>
  <c r="L82" i="411"/>
  <c r="R55" i="1"/>
  <c r="R64" i="1"/>
  <c r="R71" i="1" s="1"/>
  <c r="R88" i="1" s="1"/>
  <c r="R45" i="411"/>
  <c r="R46" i="411"/>
  <c r="R54" i="411"/>
  <c r="P46" i="412"/>
  <c r="P54" i="412"/>
  <c r="P45" i="412"/>
  <c r="Q34" i="412"/>
  <c r="Q30" i="412"/>
  <c r="L79" i="1"/>
  <c r="L81" i="1"/>
  <c r="AG81" i="1" s="1"/>
  <c r="L74" i="1"/>
  <c r="L80" i="1"/>
  <c r="AG80" i="1" s="1"/>
  <c r="M73" i="1"/>
  <c r="L82" i="1"/>
  <c r="L78" i="1"/>
  <c r="L77" i="1"/>
  <c r="AC192" i="562"/>
  <c r="W162" i="551"/>
  <c r="W171" i="551" s="1"/>
  <c r="W172" i="551" s="1"/>
  <c r="X164" i="551"/>
  <c r="X166" i="551" s="1"/>
  <c r="O38" i="412"/>
  <c r="O39" i="412"/>
  <c r="T31" i="1"/>
  <c r="T44" i="1"/>
  <c r="T32" i="1"/>
  <c r="T68" i="1"/>
  <c r="T66" i="1" s="1"/>
  <c r="U48" i="1" s="1"/>
  <c r="T37" i="1"/>
  <c r="AA57" i="565"/>
  <c r="AA59" i="565" s="1"/>
  <c r="S29" i="412" s="1"/>
  <c r="AA165" i="565"/>
  <c r="P51" i="412"/>
  <c r="P58" i="412"/>
  <c r="P59" i="412" s="1"/>
  <c r="AC57" i="551"/>
  <c r="AC59" i="551" s="1"/>
  <c r="U29" i="1" s="1"/>
  <c r="AC165" i="551"/>
  <c r="N73" i="412"/>
  <c r="M74" i="412"/>
  <c r="M80" i="412"/>
  <c r="M77" i="412"/>
  <c r="M81" i="412"/>
  <c r="M78" i="412"/>
  <c r="M79" i="412"/>
  <c r="M82" i="412"/>
  <c r="Y177" i="565"/>
  <c r="Y192" i="565"/>
  <c r="S38" i="411"/>
  <c r="S39" i="411"/>
  <c r="Z165" i="565"/>
  <c r="Z57" i="565"/>
  <c r="Z59" i="565" s="1"/>
  <c r="R29" i="412" s="1"/>
  <c r="Q55" i="411"/>
  <c r="Q64" i="411"/>
  <c r="Q71" i="411" s="1"/>
  <c r="Q88" i="411" s="1"/>
  <c r="T51" i="411"/>
  <c r="T58" i="411" s="1"/>
  <c r="T59" i="411" s="1"/>
  <c r="O54" i="412"/>
  <c r="O46" i="412"/>
  <c r="O45" i="412"/>
  <c r="V162" i="565"/>
  <c r="V171" i="565" s="1"/>
  <c r="V172" i="565" s="1"/>
  <c r="W164" i="565"/>
  <c r="AC80" i="565"/>
  <c r="AC153" i="565"/>
  <c r="Z159" i="551"/>
  <c r="X159" i="565"/>
  <c r="W170" i="565"/>
  <c r="W191" i="565"/>
  <c r="Y159" i="562"/>
  <c r="Y158" i="562"/>
  <c r="W167" i="562"/>
  <c r="T34" i="411"/>
  <c r="T30" i="411"/>
  <c r="Q55" i="1"/>
  <c r="Q64" i="1"/>
  <c r="Q71" i="1" s="1"/>
  <c r="Q88" i="1" s="1"/>
  <c r="S31" i="1"/>
  <c r="S44" i="1"/>
  <c r="S32" i="1"/>
  <c r="S68" i="1"/>
  <c r="S66" i="1" s="1"/>
  <c r="T48" i="1" s="1"/>
  <c r="S37" i="1"/>
  <c r="W174" i="562"/>
  <c r="V193" i="562"/>
  <c r="V179" i="562"/>
  <c r="V178" i="562" s="1"/>
  <c r="S45" i="411"/>
  <c r="S46" i="411"/>
  <c r="X191" i="562"/>
  <c r="X170" i="562"/>
  <c r="S51" i="411"/>
  <c r="S58" i="411" s="1"/>
  <c r="S59" i="411" s="1"/>
  <c r="S54" i="411" l="1"/>
  <c r="R55" i="411"/>
  <c r="R64" i="411"/>
  <c r="R71" i="411" s="1"/>
  <c r="R88" i="411" s="1"/>
  <c r="R34" i="412"/>
  <c r="R30" i="412"/>
  <c r="Z152" i="551"/>
  <c r="AA155" i="551"/>
  <c r="Z177" i="565"/>
  <c r="Z192" i="565"/>
  <c r="S38" i="1"/>
  <c r="S39" i="1"/>
  <c r="T51" i="1"/>
  <c r="T58" i="1"/>
  <c r="T59" i="1" s="1"/>
  <c r="M79" i="1"/>
  <c r="M74" i="1"/>
  <c r="M81" i="1"/>
  <c r="M80" i="1"/>
  <c r="AH80" i="1" s="1"/>
  <c r="M78" i="1"/>
  <c r="N73" i="1"/>
  <c r="M82" i="1"/>
  <c r="M77" i="1"/>
  <c r="S54" i="1"/>
  <c r="S45" i="1"/>
  <c r="S46" i="1"/>
  <c r="S34" i="412"/>
  <c r="S30" i="412"/>
  <c r="X174" i="551"/>
  <c r="W193" i="551"/>
  <c r="W179" i="551"/>
  <c r="W178" i="551" s="1"/>
  <c r="X152" i="565"/>
  <c r="Y155" i="565"/>
  <c r="AC177" i="551"/>
  <c r="AC192" i="551"/>
  <c r="U34" i="1"/>
  <c r="U30" i="1"/>
  <c r="AA177" i="565"/>
  <c r="AA192" i="565"/>
  <c r="U34" i="411"/>
  <c r="U30" i="411"/>
  <c r="W167" i="565"/>
  <c r="W166" i="565"/>
  <c r="T38" i="1"/>
  <c r="T39" i="1"/>
  <c r="V193" i="565"/>
  <c r="W174" i="565"/>
  <c r="V179" i="565"/>
  <c r="V178" i="565" s="1"/>
  <c r="U51" i="1"/>
  <c r="U58" i="1" s="1"/>
  <c r="U59" i="1" s="1"/>
  <c r="N73" i="411"/>
  <c r="M74" i="411"/>
  <c r="M77" i="411"/>
  <c r="M79" i="411"/>
  <c r="M82" i="411"/>
  <c r="M81" i="411"/>
  <c r="M80" i="411"/>
  <c r="M78" i="411"/>
  <c r="T31" i="411"/>
  <c r="T44" i="411"/>
  <c r="T32" i="411"/>
  <c r="T68" i="411"/>
  <c r="T66" i="411" s="1"/>
  <c r="U48" i="411" s="1"/>
  <c r="T37" i="411"/>
  <c r="P55" i="412"/>
  <c r="P64" i="412"/>
  <c r="P71" i="412" s="1"/>
  <c r="P88" i="412" s="1"/>
  <c r="W162" i="562"/>
  <c r="W171" i="562" s="1"/>
  <c r="W172" i="562" s="1"/>
  <c r="X164" i="562"/>
  <c r="O64" i="412"/>
  <c r="O71" i="412" s="1"/>
  <c r="O88" i="412" s="1"/>
  <c r="O55" i="412"/>
  <c r="Q31" i="412"/>
  <c r="Q44" i="412"/>
  <c r="Q32" i="412"/>
  <c r="Q68" i="412"/>
  <c r="Q66" i="412" s="1"/>
  <c r="R48" i="412" s="1"/>
  <c r="Q37" i="412"/>
  <c r="AB107" i="565"/>
  <c r="AB134" i="565" s="1"/>
  <c r="AC42" i="565" s="1"/>
  <c r="AB49" i="565"/>
  <c r="T54" i="1"/>
  <c r="T45" i="1"/>
  <c r="T46" i="1"/>
  <c r="X167" i="551"/>
  <c r="Z155" i="562"/>
  <c r="Z158" i="562" s="1"/>
  <c r="Y152" i="562"/>
  <c r="O73" i="412"/>
  <c r="N74" i="412"/>
  <c r="N81" i="412"/>
  <c r="N77" i="412"/>
  <c r="N78" i="412"/>
  <c r="N82" i="412"/>
  <c r="N79" i="412"/>
  <c r="N80" i="412"/>
  <c r="S31" i="412" l="1"/>
  <c r="S32" i="412"/>
  <c r="S44" i="412"/>
  <c r="S68" i="412"/>
  <c r="S66" i="412" s="1"/>
  <c r="T48" i="412" s="1"/>
  <c r="S37" i="412"/>
  <c r="U58" i="411"/>
  <c r="U59" i="411" s="1"/>
  <c r="U51" i="411"/>
  <c r="AB57" i="565"/>
  <c r="AB59" i="565" s="1"/>
  <c r="T29" i="412" s="1"/>
  <c r="AB165" i="565"/>
  <c r="AC49" i="565"/>
  <c r="AC107" i="565"/>
  <c r="AC134" i="565" s="1"/>
  <c r="R51" i="412"/>
  <c r="R58" i="412" s="1"/>
  <c r="R59" i="412" s="1"/>
  <c r="N79" i="1"/>
  <c r="N81" i="1"/>
  <c r="N74" i="1"/>
  <c r="N80" i="1"/>
  <c r="N82" i="1"/>
  <c r="O73" i="1"/>
  <c r="N77" i="1"/>
  <c r="N78" i="1"/>
  <c r="T38" i="411"/>
  <c r="T39" i="411"/>
  <c r="T64" i="1"/>
  <c r="T71" i="1" s="1"/>
  <c r="T55" i="1"/>
  <c r="Y158" i="565"/>
  <c r="T54" i="411"/>
  <c r="T45" i="411"/>
  <c r="T46" i="411"/>
  <c r="X170" i="565"/>
  <c r="X191" i="565"/>
  <c r="S55" i="411"/>
  <c r="S64" i="411"/>
  <c r="S71" i="411" s="1"/>
  <c r="S88" i="411" s="1"/>
  <c r="Q38" i="412"/>
  <c r="Q39" i="412"/>
  <c r="Q46" i="412"/>
  <c r="Q54" i="412"/>
  <c r="Q45" i="412"/>
  <c r="W162" i="565"/>
  <c r="W171" i="565" s="1"/>
  <c r="W172" i="565" s="1"/>
  <c r="X164" i="565"/>
  <c r="AA158" i="551"/>
  <c r="X167" i="562"/>
  <c r="X166" i="562"/>
  <c r="Z170" i="551"/>
  <c r="Z191" i="551"/>
  <c r="W179" i="562"/>
  <c r="W178" i="562" s="1"/>
  <c r="W193" i="562"/>
  <c r="X174" i="562"/>
  <c r="R44" i="412"/>
  <c r="R31" i="412"/>
  <c r="R32" i="412"/>
  <c r="R68" i="412"/>
  <c r="R66" i="412" s="1"/>
  <c r="S48" i="412" s="1"/>
  <c r="R37" i="412"/>
  <c r="Y191" i="562"/>
  <c r="Y170" i="562"/>
  <c r="Z159" i="562"/>
  <c r="P73" i="412"/>
  <c r="O74" i="412"/>
  <c r="O82" i="412"/>
  <c r="O79" i="412"/>
  <c r="O77" i="412"/>
  <c r="O81" i="412"/>
  <c r="O80" i="412"/>
  <c r="O78" i="412"/>
  <c r="Y164" i="551"/>
  <c r="X162" i="551"/>
  <c r="X171" i="551" s="1"/>
  <c r="X172" i="551" s="1"/>
  <c r="U31" i="1"/>
  <c r="U44" i="1"/>
  <c r="U32" i="1"/>
  <c r="U68" i="1"/>
  <c r="U66" i="1" s="1"/>
  <c r="U37" i="1"/>
  <c r="U31" i="411"/>
  <c r="U44" i="411"/>
  <c r="U32" i="411"/>
  <c r="U68" i="411"/>
  <c r="U66" i="411" s="1"/>
  <c r="U37" i="411"/>
  <c r="N74" i="411"/>
  <c r="O73" i="411"/>
  <c r="N80" i="411"/>
  <c r="N81" i="411"/>
  <c r="N78" i="411"/>
  <c r="N77" i="411"/>
  <c r="N82" i="411"/>
  <c r="N79" i="411"/>
  <c r="S55" i="1"/>
  <c r="S64" i="1"/>
  <c r="S71" i="1" s="1"/>
  <c r="S88" i="1" s="1"/>
  <c r="X162" i="562" l="1"/>
  <c r="X171" i="562" s="1"/>
  <c r="X172" i="562" s="1"/>
  <c r="Y164" i="562"/>
  <c r="T55" i="411"/>
  <c r="T64" i="411"/>
  <c r="T71" i="411" s="1"/>
  <c r="P74" i="412"/>
  <c r="P81" i="412"/>
  <c r="P78" i="412"/>
  <c r="P77" i="412"/>
  <c r="P79" i="412"/>
  <c r="P80" i="412"/>
  <c r="P82" i="412"/>
  <c r="U54" i="411"/>
  <c r="U45" i="411"/>
  <c r="U46" i="411"/>
  <c r="Z152" i="562"/>
  <c r="AA155" i="562"/>
  <c r="AA159" i="551"/>
  <c r="Y159" i="565"/>
  <c r="AC57" i="565"/>
  <c r="AC59" i="565" s="1"/>
  <c r="U29" i="412" s="1"/>
  <c r="AC165" i="565"/>
  <c r="W193" i="565"/>
  <c r="X174" i="565"/>
  <c r="W179" i="565"/>
  <c r="W178" i="565" s="1"/>
  <c r="AB177" i="565"/>
  <c r="AB192" i="565"/>
  <c r="T34" i="412"/>
  <c r="T30" i="412"/>
  <c r="U38" i="1"/>
  <c r="U39" i="1"/>
  <c r="R38" i="412"/>
  <c r="R39" i="412"/>
  <c r="U46" i="1"/>
  <c r="U54" i="1"/>
  <c r="U45" i="1"/>
  <c r="S51" i="412"/>
  <c r="S58" i="412" s="1"/>
  <c r="S59" i="412" s="1"/>
  <c r="Q55" i="412"/>
  <c r="Q64" i="412"/>
  <c r="Q71" i="412" s="1"/>
  <c r="Q88" i="412" s="1"/>
  <c r="Y174" i="551"/>
  <c r="X179" i="551"/>
  <c r="X178" i="551" s="1"/>
  <c r="X193" i="551"/>
  <c r="O81" i="1"/>
  <c r="O79" i="1"/>
  <c r="O74" i="1"/>
  <c r="O80" i="1"/>
  <c r="P73" i="1"/>
  <c r="O82" i="1"/>
  <c r="O77" i="1"/>
  <c r="O78" i="1"/>
  <c r="S39" i="412"/>
  <c r="S38" i="412"/>
  <c r="T51" i="412"/>
  <c r="T58" i="412" s="1"/>
  <c r="T59" i="412" s="1"/>
  <c r="Y166" i="551"/>
  <c r="S46" i="412"/>
  <c r="S45" i="412"/>
  <c r="O74" i="411"/>
  <c r="P73" i="411"/>
  <c r="O82" i="411"/>
  <c r="O79" i="411"/>
  <c r="O81" i="411"/>
  <c r="O80" i="411"/>
  <c r="O78" i="411"/>
  <c r="O77" i="411"/>
  <c r="X167" i="565"/>
  <c r="R46" i="412"/>
  <c r="R54" i="412"/>
  <c r="R45" i="412"/>
  <c r="U38" i="411"/>
  <c r="U39" i="411"/>
  <c r="Y166" i="562"/>
  <c r="X166" i="565"/>
  <c r="U55" i="411" l="1"/>
  <c r="U64" i="411"/>
  <c r="U71" i="411" s="1"/>
  <c r="T86" i="411"/>
  <c r="T88" i="411" s="1"/>
  <c r="S54" i="412"/>
  <c r="R55" i="412"/>
  <c r="R64" i="412"/>
  <c r="R71" i="412" s="1"/>
  <c r="R88" i="412" s="1"/>
  <c r="Y167" i="551"/>
  <c r="X162" i="565"/>
  <c r="X171" i="565" s="1"/>
  <c r="X172" i="565" s="1"/>
  <c r="Y164" i="565"/>
  <c r="AC177" i="565"/>
  <c r="AC192" i="565"/>
  <c r="U34" i="412"/>
  <c r="U30" i="412"/>
  <c r="Y152" i="565"/>
  <c r="Z155" i="565"/>
  <c r="T86" i="1"/>
  <c r="T88" i="1" s="1"/>
  <c r="U55" i="1"/>
  <c r="U64" i="1"/>
  <c r="U71" i="1" s="1"/>
  <c r="AA152" i="551"/>
  <c r="AB155" i="551"/>
  <c r="Q73" i="412"/>
  <c r="AA158" i="562"/>
  <c r="Z170" i="562"/>
  <c r="Z191" i="562"/>
  <c r="P78" i="1"/>
  <c r="P79" i="1"/>
  <c r="P81" i="1"/>
  <c r="P74" i="1"/>
  <c r="P80" i="1"/>
  <c r="Q73" i="1"/>
  <c r="P82" i="1"/>
  <c r="P77" i="1"/>
  <c r="Y166" i="565"/>
  <c r="P74" i="411"/>
  <c r="Q73" i="411"/>
  <c r="P82" i="411"/>
  <c r="P78" i="411"/>
  <c r="P79" i="411"/>
  <c r="P77" i="411"/>
  <c r="P80" i="411"/>
  <c r="P81" i="411"/>
  <c r="Y167" i="562"/>
  <c r="X179" i="562"/>
  <c r="X178" i="562" s="1"/>
  <c r="X193" i="562"/>
  <c r="Y174" i="562"/>
  <c r="T31" i="412"/>
  <c r="T32" i="412"/>
  <c r="T44" i="412"/>
  <c r="T68" i="412"/>
  <c r="T66" i="412" s="1"/>
  <c r="U48" i="412" s="1"/>
  <c r="T37" i="412"/>
  <c r="U32" i="412" l="1"/>
  <c r="U44" i="412"/>
  <c r="U31" i="412"/>
  <c r="U68" i="412"/>
  <c r="U66" i="412" s="1"/>
  <c r="U37" i="412"/>
  <c r="Y162" i="562"/>
  <c r="Y171" i="562" s="1"/>
  <c r="Y172" i="562" s="1"/>
  <c r="Z164" i="562"/>
  <c r="Y167" i="565"/>
  <c r="X193" i="565"/>
  <c r="Y174" i="565"/>
  <c r="X179" i="565"/>
  <c r="X178" i="565" s="1"/>
  <c r="AA159" i="562"/>
  <c r="R73" i="412"/>
  <c r="Q74" i="412"/>
  <c r="Q79" i="412"/>
  <c r="Q77" i="412"/>
  <c r="Q78" i="412"/>
  <c r="Q82" i="412"/>
  <c r="Q81" i="412"/>
  <c r="Q80" i="412"/>
  <c r="Y162" i="551"/>
  <c r="Y171" i="551" s="1"/>
  <c r="Y172" i="551" s="1"/>
  <c r="Z164" i="551"/>
  <c r="T38" i="412"/>
  <c r="T39" i="412"/>
  <c r="Q74" i="411"/>
  <c r="R73" i="411"/>
  <c r="Q78" i="411"/>
  <c r="Q81" i="411"/>
  <c r="Q80" i="411"/>
  <c r="Q82" i="411"/>
  <c r="Q79" i="411"/>
  <c r="Q77" i="411"/>
  <c r="AB159" i="551"/>
  <c r="AB158" i="551"/>
  <c r="U51" i="412"/>
  <c r="U58" i="412"/>
  <c r="U59" i="412" s="1"/>
  <c r="AA170" i="551"/>
  <c r="AA191" i="551"/>
  <c r="T45" i="412"/>
  <c r="T46" i="412"/>
  <c r="T54" i="412"/>
  <c r="S64" i="412"/>
  <c r="S71" i="412" s="1"/>
  <c r="S88" i="412" s="1"/>
  <c r="S55" i="412"/>
  <c r="E90" i="1"/>
  <c r="U88" i="1"/>
  <c r="U89" i="1" s="1"/>
  <c r="E90" i="411"/>
  <c r="U88" i="411"/>
  <c r="U89" i="411" s="1"/>
  <c r="Q78" i="1"/>
  <c r="Q79" i="1"/>
  <c r="Q81" i="1"/>
  <c r="Q80" i="1"/>
  <c r="Q74" i="1"/>
  <c r="Q77" i="1"/>
  <c r="Q82" i="1"/>
  <c r="R73" i="1"/>
  <c r="Z158" i="565"/>
  <c r="Y170" i="565"/>
  <c r="Y191" i="565"/>
  <c r="R74" i="412" l="1"/>
  <c r="S73" i="412"/>
  <c r="R77" i="412"/>
  <c r="R78" i="412"/>
  <c r="R82" i="412"/>
  <c r="R80" i="412"/>
  <c r="R81" i="412"/>
  <c r="R79" i="412"/>
  <c r="AB155" i="562"/>
  <c r="AA152" i="562"/>
  <c r="R74" i="411"/>
  <c r="S73" i="411"/>
  <c r="R79" i="411"/>
  <c r="R77" i="411"/>
  <c r="R81" i="411"/>
  <c r="R78" i="411"/>
  <c r="R80" i="411"/>
  <c r="R82" i="411"/>
  <c r="Z159" i="565"/>
  <c r="T55" i="412"/>
  <c r="T64" i="412"/>
  <c r="T71" i="412" s="1"/>
  <c r="R78" i="1"/>
  <c r="R79" i="1"/>
  <c r="R81" i="1"/>
  <c r="R82" i="1"/>
  <c r="R74" i="1"/>
  <c r="R80" i="1"/>
  <c r="S73" i="1"/>
  <c r="R77" i="1"/>
  <c r="Z166" i="551"/>
  <c r="Y162" i="565"/>
  <c r="Y171" i="565" s="1"/>
  <c r="Y172" i="565" s="1"/>
  <c r="Z164" i="565"/>
  <c r="Y193" i="551"/>
  <c r="Z174" i="551"/>
  <c r="Y179" i="551"/>
  <c r="Y178" i="551" s="1"/>
  <c r="Z166" i="562"/>
  <c r="Y193" i="562"/>
  <c r="Z174" i="562"/>
  <c r="Y179" i="562"/>
  <c r="Y178" i="562" s="1"/>
  <c r="U39" i="412"/>
  <c r="U38" i="412"/>
  <c r="AC158" i="551"/>
  <c r="AB152" i="551"/>
  <c r="AC155" i="551"/>
  <c r="U45" i="412"/>
  <c r="U46" i="412"/>
  <c r="U54" i="412"/>
  <c r="Y193" i="565" l="1"/>
  <c r="Z174" i="565"/>
  <c r="Y179" i="565"/>
  <c r="Y178" i="565" s="1"/>
  <c r="AC159" i="551"/>
  <c r="AC152" i="551" s="1"/>
  <c r="AB170" i="551"/>
  <c r="AB191" i="551"/>
  <c r="Z167" i="551"/>
  <c r="S78" i="1"/>
  <c r="S81" i="1"/>
  <c r="S79" i="1"/>
  <c r="S74" i="1"/>
  <c r="S80" i="1"/>
  <c r="T73" i="1"/>
  <c r="S82" i="1"/>
  <c r="S77" i="1"/>
  <c r="S74" i="411"/>
  <c r="T73" i="411"/>
  <c r="S78" i="411"/>
  <c r="S80" i="411"/>
  <c r="S82" i="411"/>
  <c r="S79" i="411"/>
  <c r="S77" i="411"/>
  <c r="S81" i="411"/>
  <c r="AA191" i="562"/>
  <c r="AA170" i="562"/>
  <c r="AB159" i="562"/>
  <c r="AB158" i="562"/>
  <c r="Z167" i="562"/>
  <c r="Z152" i="565"/>
  <c r="AA155" i="565"/>
  <c r="U64" i="412"/>
  <c r="U71" i="412" s="1"/>
  <c r="T86" i="412"/>
  <c r="T88" i="412" s="1"/>
  <c r="U55" i="412"/>
  <c r="Z167" i="565"/>
  <c r="Z166" i="565"/>
  <c r="S74" i="412"/>
  <c r="T73" i="412"/>
  <c r="S78" i="412"/>
  <c r="S77" i="412"/>
  <c r="S81" i="412"/>
  <c r="S82" i="412"/>
  <c r="S80" i="412"/>
  <c r="S79" i="412"/>
  <c r="E90" i="412" l="1"/>
  <c r="U88" i="412"/>
  <c r="U89" i="412" s="1"/>
  <c r="AA159" i="565"/>
  <c r="AA158" i="565"/>
  <c r="Z170" i="565"/>
  <c r="Z191" i="565"/>
  <c r="AA164" i="562"/>
  <c r="Z162" i="562"/>
  <c r="Z171" i="562" s="1"/>
  <c r="Z172" i="562" s="1"/>
  <c r="T77" i="1"/>
  <c r="T78" i="1"/>
  <c r="T79" i="1"/>
  <c r="T80" i="1"/>
  <c r="T81" i="1"/>
  <c r="T74" i="1"/>
  <c r="T82" i="1"/>
  <c r="U73" i="1"/>
  <c r="AC158" i="562"/>
  <c r="AB152" i="562"/>
  <c r="AC155" i="562"/>
  <c r="AA164" i="551"/>
  <c r="Z162" i="551"/>
  <c r="Z171" i="551" s="1"/>
  <c r="Z172" i="551" s="1"/>
  <c r="T74" i="412"/>
  <c r="U73" i="412"/>
  <c r="T77" i="412"/>
  <c r="T82" i="412"/>
  <c r="T78" i="412"/>
  <c r="T81" i="412"/>
  <c r="T80" i="412"/>
  <c r="T79" i="412"/>
  <c r="Z162" i="565"/>
  <c r="Z171" i="565" s="1"/>
  <c r="AA164" i="565"/>
  <c r="AA166" i="565" s="1"/>
  <c r="AC170" i="551"/>
  <c r="AC191" i="551"/>
  <c r="T74" i="411"/>
  <c r="U73" i="411"/>
  <c r="T77" i="411"/>
  <c r="T78" i="411"/>
  <c r="T81" i="411"/>
  <c r="T80" i="411"/>
  <c r="T79" i="411"/>
  <c r="T82" i="411"/>
  <c r="U82" i="1" l="1"/>
  <c r="U77" i="1"/>
  <c r="U78" i="1"/>
  <c r="U79" i="1"/>
  <c r="U74" i="1"/>
  <c r="U81" i="1"/>
  <c r="U80" i="1"/>
  <c r="U74" i="412"/>
  <c r="U78" i="412"/>
  <c r="U77" i="412"/>
  <c r="U81" i="412"/>
  <c r="U82" i="412"/>
  <c r="U79" i="412"/>
  <c r="U80" i="412"/>
  <c r="Z179" i="562"/>
  <c r="Z178" i="562" s="1"/>
  <c r="Z193" i="562"/>
  <c r="AA174" i="562"/>
  <c r="AA167" i="562"/>
  <c r="AA166" i="562"/>
  <c r="U74" i="411"/>
  <c r="U80" i="411"/>
  <c r="U77" i="411"/>
  <c r="U79" i="411"/>
  <c r="U82" i="411"/>
  <c r="U78" i="411"/>
  <c r="U81" i="411"/>
  <c r="AA174" i="551"/>
  <c r="Z179" i="551"/>
  <c r="Z178" i="551" s="1"/>
  <c r="Z193" i="551"/>
  <c r="AA167" i="551"/>
  <c r="AA166" i="551"/>
  <c r="Z172" i="565"/>
  <c r="AC159" i="562"/>
  <c r="AC152" i="562" s="1"/>
  <c r="AB158" i="565"/>
  <c r="AB170" i="562"/>
  <c r="AB191" i="562"/>
  <c r="AA152" i="565"/>
  <c r="AB155" i="565"/>
  <c r="AA167" i="565"/>
  <c r="AC170" i="562" l="1"/>
  <c r="AC191" i="562"/>
  <c r="Z193" i="565"/>
  <c r="AA174" i="565"/>
  <c r="Z179" i="565"/>
  <c r="Z178" i="565" s="1"/>
  <c r="AA162" i="551"/>
  <c r="AA171" i="551" s="1"/>
  <c r="AA172" i="551" s="1"/>
  <c r="AB164" i="551"/>
  <c r="AB164" i="565"/>
  <c r="AA162" i="565"/>
  <c r="AA171" i="565" s="1"/>
  <c r="AB159" i="565"/>
  <c r="AA170" i="565"/>
  <c r="AA172" i="565" s="1"/>
  <c r="AA191" i="565"/>
  <c r="AB166" i="562"/>
  <c r="AA162" i="562"/>
  <c r="AA171" i="562" s="1"/>
  <c r="AA172" i="562" s="1"/>
  <c r="AB164" i="562"/>
  <c r="AB174" i="565" l="1"/>
  <c r="AA179" i="565"/>
  <c r="AA178" i="565" s="1"/>
  <c r="AA193" i="565"/>
  <c r="AB152" i="565"/>
  <c r="AC155" i="565"/>
  <c r="AB166" i="565"/>
  <c r="AA179" i="551"/>
  <c r="AA178" i="551" s="1"/>
  <c r="AA193" i="551"/>
  <c r="AB174" i="551"/>
  <c r="AB166" i="551"/>
  <c r="AB167" i="551" s="1"/>
  <c r="AA179" i="562"/>
  <c r="AA178" i="562" s="1"/>
  <c r="AA193" i="562"/>
  <c r="AB174" i="562"/>
  <c r="AB167" i="562"/>
  <c r="AB162" i="551" l="1"/>
  <c r="AB171" i="551" s="1"/>
  <c r="AB172" i="551" s="1"/>
  <c r="AC164" i="551"/>
  <c r="AC166" i="551"/>
  <c r="AB167" i="565"/>
  <c r="AC159" i="565"/>
  <c r="AC152" i="565" s="1"/>
  <c r="AC158" i="565"/>
  <c r="AB170" i="565"/>
  <c r="AB191" i="565"/>
  <c r="AC164" i="562"/>
  <c r="AB162" i="562"/>
  <c r="AB171" i="562" s="1"/>
  <c r="AB172" i="562" s="1"/>
  <c r="AB179" i="562" l="1"/>
  <c r="AB178" i="562" s="1"/>
  <c r="AC174" i="562"/>
  <c r="AB193" i="562"/>
  <c r="AC167" i="562"/>
  <c r="AC162" i="562" s="1"/>
  <c r="AC171" i="562" s="1"/>
  <c r="AC172" i="562" s="1"/>
  <c r="AC166" i="562"/>
  <c r="AB172" i="565"/>
  <c r="AB162" i="565"/>
  <c r="AB171" i="565" s="1"/>
  <c r="AC164" i="565"/>
  <c r="AC170" i="565"/>
  <c r="AC191" i="565"/>
  <c r="AC167" i="551"/>
  <c r="AC162" i="551" s="1"/>
  <c r="AC171" i="551" s="1"/>
  <c r="AC172" i="551" s="1"/>
  <c r="AB179" i="551"/>
  <c r="AB178" i="551" s="1"/>
  <c r="AC174" i="551"/>
  <c r="AB193" i="551"/>
  <c r="AC179" i="551" l="1"/>
  <c r="AC178" i="551" s="1"/>
  <c r="AC193" i="551"/>
  <c r="AC167" i="565"/>
  <c r="AC162" i="565" s="1"/>
  <c r="AC171" i="565" s="1"/>
  <c r="AC172" i="565" s="1"/>
  <c r="AC166" i="565"/>
  <c r="AC193" i="562"/>
  <c r="AC179" i="562"/>
  <c r="AC178" i="562" s="1"/>
  <c r="AB179" i="565"/>
  <c r="AB178" i="565" s="1"/>
  <c r="AC174" i="565"/>
  <c r="AB193" i="565"/>
  <c r="AC179" i="565" l="1"/>
  <c r="AC178" i="565" s="1"/>
  <c r="AC193" i="56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Nicolau</author>
  </authors>
  <commentList>
    <comment ref="AB6" authorId="0" shapeId="0" xr:uid="{F09EFAC0-7C5A-4387-AB59-9EB02A69EF04}">
      <text>
        <r>
          <rPr>
            <b/>
            <sz val="9"/>
            <color indexed="81"/>
            <rFont val="Tahoma"/>
            <family val="2"/>
          </rPr>
          <t>Alex Nicolau:</t>
        </r>
        <r>
          <rPr>
            <sz val="9"/>
            <color indexed="81"/>
            <rFont val="Tahoma"/>
            <family val="2"/>
          </rPr>
          <t xml:space="preserve">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r>
      </text>
    </comment>
    <comment ref="AC6" authorId="0" shapeId="0" xr:uid="{69E2A29E-2B78-4E6A-AD2D-948E4D85BAA6}">
      <text>
        <r>
          <rPr>
            <b/>
            <sz val="9"/>
            <color indexed="81"/>
            <rFont val="Tahoma"/>
            <family val="2"/>
          </rPr>
          <t>Alex Nicolau:</t>
        </r>
        <r>
          <rPr>
            <sz val="9"/>
            <color indexed="81"/>
            <rFont val="Tahoma"/>
            <family val="2"/>
          </rPr>
          <t xml:space="preserve">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r>
      </text>
    </comment>
    <comment ref="AD6" authorId="0" shapeId="0" xr:uid="{29FB0D17-F788-4B20-A0A9-51CCE633223B}">
      <text>
        <r>
          <rPr>
            <b/>
            <sz val="9"/>
            <color indexed="81"/>
            <rFont val="Tahoma"/>
            <family val="2"/>
          </rPr>
          <t>Alex Nicolau:</t>
        </r>
        <r>
          <rPr>
            <sz val="9"/>
            <color indexed="81"/>
            <rFont val="Tahoma"/>
            <family val="2"/>
          </rPr>
          <t xml:space="preserve">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r>
      </text>
    </comment>
    <comment ref="BB25" authorId="0" shapeId="0" xr:uid="{F448A701-2B92-40B0-BFAC-A04C6C0CCCA3}">
      <text>
        <r>
          <rPr>
            <b/>
            <sz val="9"/>
            <color indexed="81"/>
            <rFont val="Tahoma"/>
            <family val="2"/>
          </rPr>
          <t>Alex Nicolau:</t>
        </r>
        <r>
          <rPr>
            <sz val="9"/>
            <color indexed="81"/>
            <rFont val="Tahoma"/>
            <family val="2"/>
          </rPr>
          <t xml:space="preserve">
Adjusted for restruturing costs</t>
        </r>
      </text>
    </comment>
    <comment ref="BC25" authorId="0" shapeId="0" xr:uid="{A3EA0006-F2DA-4081-8456-6151BA657991}">
      <text>
        <r>
          <rPr>
            <b/>
            <sz val="9"/>
            <color indexed="81"/>
            <rFont val="Tahoma"/>
            <family val="2"/>
          </rPr>
          <t>Alex Nicolau:</t>
        </r>
        <r>
          <rPr>
            <sz val="9"/>
            <color indexed="81"/>
            <rFont val="Tahoma"/>
            <family val="2"/>
          </rPr>
          <t xml:space="preserve">
Adjusted for restruturing costs</t>
        </r>
      </text>
    </comment>
    <comment ref="BD25" authorId="0" shapeId="0" xr:uid="{801B8A37-5944-480B-8908-F8B481EF348F}">
      <text>
        <r>
          <rPr>
            <b/>
            <sz val="9"/>
            <color indexed="81"/>
            <rFont val="Tahoma"/>
            <family val="2"/>
          </rPr>
          <t>Alex Nicolau:</t>
        </r>
        <r>
          <rPr>
            <sz val="9"/>
            <color indexed="81"/>
            <rFont val="Tahoma"/>
            <family val="2"/>
          </rPr>
          <t xml:space="preserve">
Adjusted for restruturing costs</t>
        </r>
      </text>
    </comment>
    <comment ref="BE25" authorId="0" shapeId="0" xr:uid="{DAB9F407-A558-4B15-8FF7-9740E26FF562}">
      <text>
        <r>
          <rPr>
            <b/>
            <sz val="9"/>
            <color indexed="81"/>
            <rFont val="Tahoma"/>
            <family val="2"/>
          </rPr>
          <t>Alex Nicolau:</t>
        </r>
        <r>
          <rPr>
            <sz val="9"/>
            <color indexed="81"/>
            <rFont val="Tahoma"/>
            <family val="2"/>
          </rPr>
          <t xml:space="preserve">
Adjusted for restruturing costs</t>
        </r>
      </text>
    </comment>
    <comment ref="BF25" authorId="0" shapeId="0" xr:uid="{F03287EB-F9CD-4655-AADA-D4015269BA27}">
      <text>
        <r>
          <rPr>
            <b/>
            <sz val="9"/>
            <color indexed="81"/>
            <rFont val="Tahoma"/>
            <family val="2"/>
          </rPr>
          <t>Alex Nicolau:</t>
        </r>
        <r>
          <rPr>
            <sz val="9"/>
            <color indexed="81"/>
            <rFont val="Tahoma"/>
            <family val="2"/>
          </rPr>
          <t xml:space="preserve">
Adjusted for restruturing costs</t>
        </r>
      </text>
    </comment>
    <comment ref="BG25" authorId="0" shapeId="0" xr:uid="{DFEEAF4E-78D9-4522-9715-DD74CD22D81C}">
      <text>
        <r>
          <rPr>
            <b/>
            <sz val="9"/>
            <color indexed="81"/>
            <rFont val="Tahoma"/>
            <family val="2"/>
          </rPr>
          <t>Alex Nicolau:</t>
        </r>
        <r>
          <rPr>
            <sz val="9"/>
            <color indexed="81"/>
            <rFont val="Tahoma"/>
            <family val="2"/>
          </rPr>
          <t xml:space="preserve">
Adjusted for restruturing costs</t>
        </r>
      </text>
    </comment>
    <comment ref="BH25" authorId="0" shapeId="0" xr:uid="{6AB7E7EA-D129-422B-8F2E-085ABD32EED0}">
      <text>
        <r>
          <rPr>
            <b/>
            <sz val="9"/>
            <color indexed="81"/>
            <rFont val="Tahoma"/>
            <family val="2"/>
          </rPr>
          <t>Alex Nicolau:</t>
        </r>
        <r>
          <rPr>
            <sz val="9"/>
            <color indexed="81"/>
            <rFont val="Tahoma"/>
            <family val="2"/>
          </rPr>
          <t xml:space="preserve">
Adjusted for restruturing costs</t>
        </r>
      </text>
    </comment>
    <comment ref="BB29" authorId="0" shapeId="0" xr:uid="{361770B7-4CD3-4746-B954-8568096D8492}">
      <text>
        <r>
          <rPr>
            <b/>
            <sz val="9"/>
            <color indexed="81"/>
            <rFont val="Tahoma"/>
            <family val="2"/>
          </rPr>
          <t>Alex Nicolau:</t>
        </r>
        <r>
          <rPr>
            <sz val="9"/>
            <color indexed="81"/>
            <rFont val="Tahoma"/>
            <family val="2"/>
          </rPr>
          <t xml:space="preserve">
Adjusted for restruturing costs</t>
        </r>
      </text>
    </comment>
    <comment ref="BC29" authorId="0" shapeId="0" xr:uid="{8CE0A0B8-5B0B-417B-91B3-D8EFFA7AF04E}">
      <text>
        <r>
          <rPr>
            <b/>
            <sz val="9"/>
            <color indexed="81"/>
            <rFont val="Tahoma"/>
            <family val="2"/>
          </rPr>
          <t>Alex Nicolau:</t>
        </r>
        <r>
          <rPr>
            <sz val="9"/>
            <color indexed="81"/>
            <rFont val="Tahoma"/>
            <family val="2"/>
          </rPr>
          <t xml:space="preserve">
Adjusted for restruturing costs</t>
        </r>
      </text>
    </comment>
    <comment ref="BD29" authorId="0" shapeId="0" xr:uid="{B6307ED6-2742-43E4-AB42-1DF418632507}">
      <text>
        <r>
          <rPr>
            <b/>
            <sz val="9"/>
            <color indexed="81"/>
            <rFont val="Tahoma"/>
            <family val="2"/>
          </rPr>
          <t>Alex Nicolau:</t>
        </r>
        <r>
          <rPr>
            <sz val="9"/>
            <color indexed="81"/>
            <rFont val="Tahoma"/>
            <family val="2"/>
          </rPr>
          <t xml:space="preserve">
Adjusted for restruturing costs</t>
        </r>
      </text>
    </comment>
    <comment ref="BE29" authorId="0" shapeId="0" xr:uid="{71F0DF9D-AE75-4545-8E36-5674322A9DDE}">
      <text>
        <r>
          <rPr>
            <b/>
            <sz val="9"/>
            <color indexed="81"/>
            <rFont val="Tahoma"/>
            <family val="2"/>
          </rPr>
          <t>Alex Nicolau:</t>
        </r>
        <r>
          <rPr>
            <sz val="9"/>
            <color indexed="81"/>
            <rFont val="Tahoma"/>
            <family val="2"/>
          </rPr>
          <t xml:space="preserve">
Adjusted for restruturing costs</t>
        </r>
      </text>
    </comment>
    <comment ref="BF29" authorId="0" shapeId="0" xr:uid="{8E8BBCD4-6168-477C-B095-7921A9CC10A1}">
      <text>
        <r>
          <rPr>
            <b/>
            <sz val="9"/>
            <color indexed="81"/>
            <rFont val="Tahoma"/>
            <family val="2"/>
          </rPr>
          <t>Alex Nicolau:</t>
        </r>
        <r>
          <rPr>
            <sz val="9"/>
            <color indexed="81"/>
            <rFont val="Tahoma"/>
            <family val="2"/>
          </rPr>
          <t xml:space="preserve">
Adjusted for restruturing costs</t>
        </r>
      </text>
    </comment>
    <comment ref="BG29" authorId="0" shapeId="0" xr:uid="{0AB1185A-04B8-4BC9-AF15-DF86A5F63C99}">
      <text>
        <r>
          <rPr>
            <b/>
            <sz val="9"/>
            <color indexed="81"/>
            <rFont val="Tahoma"/>
            <family val="2"/>
          </rPr>
          <t>Alex Nicolau:</t>
        </r>
        <r>
          <rPr>
            <sz val="9"/>
            <color indexed="81"/>
            <rFont val="Tahoma"/>
            <family val="2"/>
          </rPr>
          <t xml:space="preserve">
Adjusted for restruturing costs</t>
        </r>
      </text>
    </comment>
    <comment ref="BH29" authorId="0" shapeId="0" xr:uid="{64C005E9-E64D-4023-82F4-6C82A3D3FE04}">
      <text>
        <r>
          <rPr>
            <b/>
            <sz val="9"/>
            <color indexed="81"/>
            <rFont val="Tahoma"/>
            <family val="2"/>
          </rPr>
          <t>Alex Nicolau:</t>
        </r>
        <r>
          <rPr>
            <sz val="9"/>
            <color indexed="81"/>
            <rFont val="Tahoma"/>
            <family val="2"/>
          </rPr>
          <t xml:space="preserve">
Adjusted for restruturing costs</t>
        </r>
      </text>
    </comment>
    <comment ref="BB30" authorId="0" shapeId="0" xr:uid="{873F0239-AC3E-4B37-8942-B4D1BA9C6CDF}">
      <text>
        <r>
          <rPr>
            <b/>
            <sz val="9"/>
            <color indexed="81"/>
            <rFont val="Tahoma"/>
            <family val="2"/>
          </rPr>
          <t>Alex Nicolau:</t>
        </r>
        <r>
          <rPr>
            <sz val="9"/>
            <color indexed="81"/>
            <rFont val="Tahoma"/>
            <family val="2"/>
          </rPr>
          <t xml:space="preserve">
Adjusted for restruturing costs</t>
        </r>
      </text>
    </comment>
    <comment ref="BC30" authorId="0" shapeId="0" xr:uid="{6D93B9D5-B91A-4C02-BF8C-7B8DC001CD03}">
      <text>
        <r>
          <rPr>
            <b/>
            <sz val="9"/>
            <color indexed="81"/>
            <rFont val="Tahoma"/>
            <family val="2"/>
          </rPr>
          <t>Alex Nicolau:</t>
        </r>
        <r>
          <rPr>
            <sz val="9"/>
            <color indexed="81"/>
            <rFont val="Tahoma"/>
            <family val="2"/>
          </rPr>
          <t xml:space="preserve">
Adjusted for restruturing costs</t>
        </r>
      </text>
    </comment>
    <comment ref="BD30" authorId="0" shapeId="0" xr:uid="{1A7D91BC-6479-4C26-B907-A9A985350FB3}">
      <text>
        <r>
          <rPr>
            <b/>
            <sz val="9"/>
            <color indexed="81"/>
            <rFont val="Tahoma"/>
            <family val="2"/>
          </rPr>
          <t>Alex Nicolau:</t>
        </r>
        <r>
          <rPr>
            <sz val="9"/>
            <color indexed="81"/>
            <rFont val="Tahoma"/>
            <family val="2"/>
          </rPr>
          <t xml:space="preserve">
Adjusted for restruturing costs</t>
        </r>
      </text>
    </comment>
    <comment ref="BE30" authorId="0" shapeId="0" xr:uid="{5CB02FF0-09AA-48A5-9DBD-B2AE1632425A}">
      <text>
        <r>
          <rPr>
            <b/>
            <sz val="9"/>
            <color indexed="81"/>
            <rFont val="Tahoma"/>
            <family val="2"/>
          </rPr>
          <t>Alex Nicolau:</t>
        </r>
        <r>
          <rPr>
            <sz val="9"/>
            <color indexed="81"/>
            <rFont val="Tahoma"/>
            <family val="2"/>
          </rPr>
          <t xml:space="preserve">
Adjusted for restruturing costs</t>
        </r>
      </text>
    </comment>
    <comment ref="BF30" authorId="0" shapeId="0" xr:uid="{232314D0-2B31-4D64-818E-9AF527305567}">
      <text>
        <r>
          <rPr>
            <b/>
            <sz val="9"/>
            <color indexed="81"/>
            <rFont val="Tahoma"/>
            <family val="2"/>
          </rPr>
          <t>Alex Nicolau:</t>
        </r>
        <r>
          <rPr>
            <sz val="9"/>
            <color indexed="81"/>
            <rFont val="Tahoma"/>
            <family val="2"/>
          </rPr>
          <t xml:space="preserve">
Adjusted for restruturing costs</t>
        </r>
      </text>
    </comment>
    <comment ref="BG30" authorId="0" shapeId="0" xr:uid="{101CF0C3-8D14-46AB-BCAE-D21CE4609146}">
      <text>
        <r>
          <rPr>
            <b/>
            <sz val="9"/>
            <color indexed="81"/>
            <rFont val="Tahoma"/>
            <family val="2"/>
          </rPr>
          <t>Alex Nicolau:</t>
        </r>
        <r>
          <rPr>
            <sz val="9"/>
            <color indexed="81"/>
            <rFont val="Tahoma"/>
            <family val="2"/>
          </rPr>
          <t xml:space="preserve">
Adjusted for restruturing costs</t>
        </r>
      </text>
    </comment>
    <comment ref="BH30" authorId="0" shapeId="0" xr:uid="{CD1ECADD-9139-4D38-AC54-4553B11B4B87}">
      <text>
        <r>
          <rPr>
            <b/>
            <sz val="9"/>
            <color indexed="81"/>
            <rFont val="Tahoma"/>
            <family val="2"/>
          </rPr>
          <t>Alex Nicolau:</t>
        </r>
        <r>
          <rPr>
            <sz val="9"/>
            <color indexed="81"/>
            <rFont val="Tahoma"/>
            <family val="2"/>
          </rPr>
          <t xml:space="preserve">
Adjusted for restruturing costs</t>
        </r>
      </text>
    </comment>
    <comment ref="AN31" authorId="0" shapeId="0" xr:uid="{97F457CC-29F5-430B-AEE6-181FCEE775D1}">
      <text>
        <r>
          <rPr>
            <b/>
            <sz val="9"/>
            <color indexed="81"/>
            <rFont val="Tahoma"/>
            <family val="2"/>
          </rPr>
          <t>Alex Nicolau:</t>
        </r>
        <r>
          <rPr>
            <sz val="9"/>
            <color indexed="81"/>
            <rFont val="Tahoma"/>
            <family val="2"/>
          </rPr>
          <t xml:space="preserve">
Adj. for $3bn accrual for FTC inquiry</t>
        </r>
      </text>
    </comment>
    <comment ref="AO31" authorId="0" shapeId="0" xr:uid="{9898D8D4-BBC1-40E0-B27C-C403E16D5E7F}">
      <text>
        <r>
          <rPr>
            <b/>
            <sz val="9"/>
            <color indexed="81"/>
            <rFont val="Tahoma"/>
            <family val="2"/>
          </rPr>
          <t>Alex Nicolau:</t>
        </r>
        <r>
          <rPr>
            <sz val="9"/>
            <color indexed="81"/>
            <rFont val="Tahoma"/>
            <family val="2"/>
          </rPr>
          <t xml:space="preserve">
Adj. for additional $2bn legal expense related to FTC settlement</t>
        </r>
      </text>
    </comment>
    <comment ref="AQ31" authorId="0" shapeId="0" xr:uid="{3299C5F8-517D-4664-A075-1B843B24EE5A}">
      <text>
        <r>
          <rPr>
            <b/>
            <sz val="9"/>
            <color indexed="81"/>
            <rFont val="Tahoma"/>
            <family val="2"/>
          </rPr>
          <t>Alex Nicolau:</t>
        </r>
        <r>
          <rPr>
            <sz val="9"/>
            <color indexed="81"/>
            <rFont val="Tahoma"/>
            <family val="2"/>
          </rPr>
          <t xml:space="preserve">
Adjusted for charges related to a $550 million settlement in principle we reached this month in connection with the Illinois Biometric Information Privacy Act litigation.</t>
        </r>
      </text>
    </comment>
    <comment ref="BB31" authorId="0" shapeId="0" xr:uid="{C4782F9D-0AD3-43F7-8358-1702910429A2}">
      <text>
        <r>
          <rPr>
            <b/>
            <sz val="9"/>
            <color indexed="81"/>
            <rFont val="Tahoma"/>
            <family val="2"/>
          </rPr>
          <t>Alex Nicolau:</t>
        </r>
        <r>
          <rPr>
            <sz val="9"/>
            <color indexed="81"/>
            <rFont val="Tahoma"/>
            <family val="2"/>
          </rPr>
          <t xml:space="preserve">
Adjusted for restruturing costs</t>
        </r>
      </text>
    </comment>
    <comment ref="BC31" authorId="0" shapeId="0" xr:uid="{902DC9EC-CF4C-41DF-ABD2-8FAAEF0AABA5}">
      <text>
        <r>
          <rPr>
            <b/>
            <sz val="9"/>
            <color indexed="81"/>
            <rFont val="Tahoma"/>
            <family val="2"/>
          </rPr>
          <t>Alex Nicolau:</t>
        </r>
        <r>
          <rPr>
            <sz val="9"/>
            <color indexed="81"/>
            <rFont val="Tahoma"/>
            <family val="2"/>
          </rPr>
          <t xml:space="preserve">
Adjusted for restruturing costs</t>
        </r>
      </text>
    </comment>
    <comment ref="BD31" authorId="0" shapeId="0" xr:uid="{0CA0E26C-A128-417E-84B1-FF3591EF9EBD}">
      <text>
        <r>
          <rPr>
            <b/>
            <sz val="9"/>
            <color indexed="81"/>
            <rFont val="Tahoma"/>
            <family val="2"/>
          </rPr>
          <t>Alex Nicolau:</t>
        </r>
        <r>
          <rPr>
            <sz val="9"/>
            <color indexed="81"/>
            <rFont val="Tahoma"/>
            <family val="2"/>
          </rPr>
          <t xml:space="preserve">
Adjusted for restruturing costs</t>
        </r>
      </text>
    </comment>
    <comment ref="BE31" authorId="0" shapeId="0" xr:uid="{973F725C-7FA4-4BB6-9A9D-DACD0532ECCE}">
      <text>
        <r>
          <rPr>
            <b/>
            <sz val="9"/>
            <color indexed="81"/>
            <rFont val="Tahoma"/>
            <family val="2"/>
          </rPr>
          <t>Alex Nicolau:</t>
        </r>
        <r>
          <rPr>
            <sz val="9"/>
            <color indexed="81"/>
            <rFont val="Tahoma"/>
            <family val="2"/>
          </rPr>
          <t xml:space="preserve">
Adjusted for restructuring costs and $1.9bn of accrued legal expenses, mostly related to IDPC fine in the ongoing data transfers matter and adoption of new fining guidelines by EDPB</t>
        </r>
      </text>
    </comment>
    <comment ref="BF31" authorId="0" shapeId="0" xr:uid="{8CCD4960-A8F8-44F1-9BC4-E3F0200D012A}">
      <text>
        <r>
          <rPr>
            <b/>
            <sz val="9"/>
            <color indexed="81"/>
            <rFont val="Tahoma"/>
            <family val="2"/>
          </rPr>
          <t>Alex Nicolau:</t>
        </r>
        <r>
          <rPr>
            <sz val="9"/>
            <color indexed="81"/>
            <rFont val="Tahoma"/>
            <family val="2"/>
          </rPr>
          <t xml:space="preserve">
Adjusted for restruturing costs</t>
        </r>
      </text>
    </comment>
    <comment ref="BG31" authorId="0" shapeId="0" xr:uid="{7258E959-5181-4FD6-AEA2-1E848CA479B4}">
      <text>
        <r>
          <rPr>
            <b/>
            <sz val="9"/>
            <color indexed="81"/>
            <rFont val="Tahoma"/>
            <family val="2"/>
          </rPr>
          <t>Alex Nicolau:</t>
        </r>
        <r>
          <rPr>
            <sz val="9"/>
            <color indexed="81"/>
            <rFont val="Tahoma"/>
            <family val="2"/>
          </rPr>
          <t xml:space="preserve">
Adjusted for restruturing costs</t>
        </r>
      </text>
    </comment>
    <comment ref="BH31" authorId="0" shapeId="0" xr:uid="{12CF448B-3486-4673-9826-6AC1D990978C}">
      <text>
        <r>
          <rPr>
            <b/>
            <sz val="9"/>
            <color indexed="81"/>
            <rFont val="Tahoma"/>
            <family val="2"/>
          </rPr>
          <t>Alex Nicolau:</t>
        </r>
        <r>
          <rPr>
            <sz val="9"/>
            <color indexed="81"/>
            <rFont val="Tahoma"/>
            <family val="2"/>
          </rPr>
          <t xml:space="preserve">
Adjusted for restruturing costs</t>
        </r>
      </text>
    </comment>
    <comment ref="BI31" authorId="0" shapeId="0" xr:uid="{2C4038BB-0BFB-47BD-A3E9-3239C60EDB5A}">
      <text>
        <r>
          <rPr>
            <b/>
            <sz val="9"/>
            <color indexed="81"/>
            <rFont val="Tahoma"/>
            <family val="2"/>
          </rPr>
          <t>Alex Nicolau:</t>
        </r>
        <r>
          <rPr>
            <sz val="9"/>
            <color indexed="81"/>
            <rFont val="Tahoma"/>
            <family val="2"/>
          </rPr>
          <t xml:space="preserve">
Adjusted for $1.4bn of accrued legal expenses</t>
        </r>
      </text>
    </comment>
    <comment ref="BB209" authorId="0" shapeId="0" xr:uid="{467CB3B8-176C-4F8F-94F9-F60A17534DA0}">
      <text>
        <r>
          <rPr>
            <b/>
            <sz val="9"/>
            <color indexed="81"/>
            <rFont val="Tahoma"/>
            <family val="2"/>
          </rPr>
          <t>Alex Nicolau:</t>
        </r>
        <r>
          <rPr>
            <sz val="9"/>
            <color indexed="81"/>
            <rFont val="Tahoma"/>
            <family val="2"/>
          </rPr>
          <t xml:space="preserve">
Adjusted for restructuring charges</t>
        </r>
      </text>
    </comment>
    <comment ref="BC209" authorId="0" shapeId="0" xr:uid="{0AE3698F-26B9-4662-B499-D071F942D598}">
      <text>
        <r>
          <rPr>
            <b/>
            <sz val="9"/>
            <color indexed="81"/>
            <rFont val="Tahoma"/>
            <family val="2"/>
          </rPr>
          <t>Alex Nicolau:</t>
        </r>
        <r>
          <rPr>
            <sz val="9"/>
            <color indexed="81"/>
            <rFont val="Tahoma"/>
            <family val="2"/>
          </rPr>
          <t xml:space="preserve">
Adjusted for restructuring charges</t>
        </r>
      </text>
    </comment>
    <comment ref="BD209" authorId="0" shapeId="0" xr:uid="{B5A51C3F-FA03-4260-BCB4-AE06517FC1A1}">
      <text>
        <r>
          <rPr>
            <b/>
            <sz val="9"/>
            <color indexed="81"/>
            <rFont val="Tahoma"/>
            <family val="2"/>
          </rPr>
          <t>Alex Nicolau:</t>
        </r>
        <r>
          <rPr>
            <sz val="9"/>
            <color indexed="81"/>
            <rFont val="Tahoma"/>
            <family val="2"/>
          </rPr>
          <t xml:space="preserve">
Adjusted for restructuring charges</t>
        </r>
      </text>
    </comment>
    <comment ref="BE209" authorId="0" shapeId="0" xr:uid="{AF9E3457-AEE6-4762-90FF-585B025138DD}">
      <text>
        <r>
          <rPr>
            <b/>
            <sz val="9"/>
            <color indexed="81"/>
            <rFont val="Tahoma"/>
            <family val="2"/>
          </rPr>
          <t>Alex Nicolau:</t>
        </r>
        <r>
          <rPr>
            <sz val="9"/>
            <color indexed="81"/>
            <rFont val="Tahoma"/>
            <family val="2"/>
          </rPr>
          <t xml:space="preserve">
Adjusted for restructuring charges</t>
        </r>
      </text>
    </comment>
    <comment ref="BF209" authorId="0" shapeId="0" xr:uid="{6D9B1B9A-8BA5-40CB-8E21-C02CC22AD8F3}">
      <text>
        <r>
          <rPr>
            <b/>
            <sz val="9"/>
            <color indexed="81"/>
            <rFont val="Tahoma"/>
            <family val="2"/>
          </rPr>
          <t>Alex Nicolau:</t>
        </r>
        <r>
          <rPr>
            <sz val="9"/>
            <color indexed="81"/>
            <rFont val="Tahoma"/>
            <family val="2"/>
          </rPr>
          <t xml:space="preserve">
Adjusted for restructuring charges</t>
        </r>
      </text>
    </comment>
    <comment ref="BG209" authorId="0" shapeId="0" xr:uid="{62BF2B5E-D72F-42F0-A856-ED7081217F00}">
      <text>
        <r>
          <rPr>
            <b/>
            <sz val="9"/>
            <color indexed="81"/>
            <rFont val="Tahoma"/>
            <family val="2"/>
          </rPr>
          <t>Alex Nicolau:</t>
        </r>
        <r>
          <rPr>
            <sz val="9"/>
            <color indexed="81"/>
            <rFont val="Tahoma"/>
            <family val="2"/>
          </rPr>
          <t xml:space="preserve">
Adjusted for restructuring charges</t>
        </r>
      </text>
    </comment>
    <comment ref="BH209" authorId="0" shapeId="0" xr:uid="{033085D4-2990-43C5-BE1C-964F5955FE50}">
      <text>
        <r>
          <rPr>
            <b/>
            <sz val="9"/>
            <color indexed="81"/>
            <rFont val="Tahoma"/>
            <family val="2"/>
          </rPr>
          <t>Alex Nicolau:</t>
        </r>
        <r>
          <rPr>
            <sz val="9"/>
            <color indexed="81"/>
            <rFont val="Tahoma"/>
            <family val="2"/>
          </rPr>
          <t xml:space="preserve">
Adjusted for restructuring charges</t>
        </r>
      </text>
    </comment>
    <comment ref="BI209" authorId="0" shapeId="0" xr:uid="{4D7C895E-A806-4809-9F00-28362900D947}">
      <text>
        <r>
          <rPr>
            <b/>
            <sz val="9"/>
            <color indexed="81"/>
            <rFont val="Tahoma"/>
            <family val="2"/>
          </rPr>
          <t>Alex Nicolau:</t>
        </r>
        <r>
          <rPr>
            <sz val="9"/>
            <color indexed="81"/>
            <rFont val="Tahoma"/>
            <family val="2"/>
          </rPr>
          <t xml:space="preserve">
Adjusted for $1.4bn legal charge</t>
        </r>
      </text>
    </comment>
    <comment ref="BB210" authorId="0" shapeId="0" xr:uid="{BC8A850F-4BE3-42B8-9DB8-AADF7CEEA295}">
      <text>
        <r>
          <rPr>
            <b/>
            <sz val="9"/>
            <color indexed="81"/>
            <rFont val="Tahoma"/>
            <family val="2"/>
          </rPr>
          <t>Alex Nicolau:</t>
        </r>
        <r>
          <rPr>
            <sz val="9"/>
            <color indexed="81"/>
            <rFont val="Tahoma"/>
            <family val="2"/>
          </rPr>
          <t xml:space="preserve">
Adjusted for restructuring charges</t>
        </r>
      </text>
    </comment>
    <comment ref="BC210" authorId="0" shapeId="0" xr:uid="{01140C27-F59F-425F-A3D9-02970464E390}">
      <text>
        <r>
          <rPr>
            <b/>
            <sz val="9"/>
            <color indexed="81"/>
            <rFont val="Tahoma"/>
            <family val="2"/>
          </rPr>
          <t>Alex Nicolau:</t>
        </r>
        <r>
          <rPr>
            <sz val="9"/>
            <color indexed="81"/>
            <rFont val="Tahoma"/>
            <family val="2"/>
          </rPr>
          <t xml:space="preserve">
Adjusted for restructuring charges</t>
        </r>
      </text>
    </comment>
    <comment ref="BD210" authorId="0" shapeId="0" xr:uid="{65F14BAD-1DC8-4EBA-B863-C6249CE727C2}">
      <text>
        <r>
          <rPr>
            <b/>
            <sz val="9"/>
            <color indexed="81"/>
            <rFont val="Tahoma"/>
            <family val="2"/>
          </rPr>
          <t>Alex Nicolau:</t>
        </r>
        <r>
          <rPr>
            <sz val="9"/>
            <color indexed="81"/>
            <rFont val="Tahoma"/>
            <family val="2"/>
          </rPr>
          <t xml:space="preserve">
Adjusted for restructuring charges</t>
        </r>
      </text>
    </comment>
    <comment ref="BE210" authorId="0" shapeId="0" xr:uid="{4C962CBD-43FB-4DF6-842B-AC5FC48EEEB7}">
      <text>
        <r>
          <rPr>
            <b/>
            <sz val="9"/>
            <color indexed="81"/>
            <rFont val="Tahoma"/>
            <family val="2"/>
          </rPr>
          <t>Alex Nicolau:</t>
        </r>
        <r>
          <rPr>
            <sz val="9"/>
            <color indexed="81"/>
            <rFont val="Tahoma"/>
            <family val="2"/>
          </rPr>
          <t xml:space="preserve">
Adjusted for restructuring charges</t>
        </r>
      </text>
    </comment>
    <comment ref="BF210" authorId="0" shapeId="0" xr:uid="{9C6A15D9-37D8-4C38-A4F7-E11682D806FD}">
      <text>
        <r>
          <rPr>
            <b/>
            <sz val="9"/>
            <color indexed="81"/>
            <rFont val="Tahoma"/>
            <family val="2"/>
          </rPr>
          <t>Alex Nicolau:</t>
        </r>
        <r>
          <rPr>
            <sz val="9"/>
            <color indexed="81"/>
            <rFont val="Tahoma"/>
            <family val="2"/>
          </rPr>
          <t xml:space="preserve">
Adjusted for restructuring charges</t>
        </r>
      </text>
    </comment>
    <comment ref="BG210" authorId="0" shapeId="0" xr:uid="{DA3ED7AE-48AE-4A93-8190-D2A573C07B70}">
      <text>
        <r>
          <rPr>
            <b/>
            <sz val="9"/>
            <color indexed="81"/>
            <rFont val="Tahoma"/>
            <family val="2"/>
          </rPr>
          <t>Alex Nicolau:</t>
        </r>
        <r>
          <rPr>
            <sz val="9"/>
            <color indexed="81"/>
            <rFont val="Tahoma"/>
            <family val="2"/>
          </rPr>
          <t xml:space="preserve">
Adjusted for restructuring charges</t>
        </r>
      </text>
    </comment>
    <comment ref="BH210" authorId="0" shapeId="0" xr:uid="{EFB62F51-769E-4819-A4BC-DAF51FF59611}">
      <text>
        <r>
          <rPr>
            <b/>
            <sz val="9"/>
            <color indexed="81"/>
            <rFont val="Tahoma"/>
            <family val="2"/>
          </rPr>
          <t>Alex Nicolau:</t>
        </r>
        <r>
          <rPr>
            <sz val="9"/>
            <color indexed="81"/>
            <rFont val="Tahoma"/>
            <family val="2"/>
          </rPr>
          <t xml:space="preserve">
Adjusted for restructuring charges</t>
        </r>
      </text>
    </comment>
    <comment ref="B286" authorId="0" shapeId="0" xr:uid="{7DCC5FE8-D8B6-44BF-952C-191A8D6E2B23}">
      <text>
        <r>
          <rPr>
            <b/>
            <sz val="9"/>
            <color indexed="81"/>
            <rFont val="Tahoma"/>
            <family val="2"/>
          </rPr>
          <t>Alex Nicolau:</t>
        </r>
        <r>
          <rPr>
            <sz val="9"/>
            <color indexed="81"/>
            <rFont val="Tahoma"/>
            <family val="2"/>
          </rPr>
          <t xml:space="preserve">
The numbers for DAUs and MAUs do not include Instagram, WhatsApp, or Oculus users unless they would otherwise qualify as such users,
respectively, based on their other activities on Facebook.</t>
        </r>
      </text>
    </comment>
    <comment ref="B307" authorId="0" shapeId="0" xr:uid="{A150EEA0-A269-4192-9394-7A05B9733443}">
      <text>
        <r>
          <rPr>
            <b/>
            <sz val="9"/>
            <color indexed="81"/>
            <rFont val="Tahoma"/>
            <family val="2"/>
          </rPr>
          <t>Alex Nicolau:</t>
        </r>
        <r>
          <rPr>
            <sz val="9"/>
            <color indexed="81"/>
            <rFont val="Tahoma"/>
            <family val="2"/>
          </rPr>
          <t xml:space="preserve">
The numbers for DAUs and MAUs do not include Instagram, WhatsApp, or Oculus users unless they would otherwise qualify as such users,
respectively, based on their other activities on Facebook.</t>
        </r>
      </text>
    </comment>
    <comment ref="B328" authorId="0" shapeId="0" xr:uid="{4A6AC7A2-6E07-49F5-8458-7E6F8B12984A}">
      <text>
        <r>
          <rPr>
            <b/>
            <sz val="9"/>
            <color indexed="81"/>
            <rFont val="Tahoma"/>
            <family val="2"/>
          </rPr>
          <t>Alex Nicolau:</t>
        </r>
        <r>
          <rPr>
            <sz val="9"/>
            <color indexed="81"/>
            <rFont val="Tahoma"/>
            <family val="2"/>
          </rPr>
          <t xml:space="preserve">
The numbers for DAUs and MAUs do not include Instagram, WhatsApp, or Oculus users unless they would otherwise qualify as such users,
respectively, based on their other activities on Facebook.</t>
        </r>
      </text>
    </comment>
    <comment ref="CL616" authorId="0" shapeId="0" xr:uid="{7D2A9BB4-3A62-488E-9A6B-6A0E629A69A3}">
      <text>
        <r>
          <rPr>
            <b/>
            <sz val="9"/>
            <color indexed="81"/>
            <rFont val="Tahoma"/>
            <family val="2"/>
          </rPr>
          <t>=CIQ("$USDGBP","IQ_LASTSALEPRICE")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<sst xmlns="http://schemas.openxmlformats.org/spreadsheetml/2006/main" count="3309" uniqueCount="721">
  <si>
    <t>FY14</t>
  </si>
  <si>
    <t>FY15</t>
  </si>
  <si>
    <t>FY16</t>
  </si>
  <si>
    <t>FY17</t>
  </si>
  <si>
    <t>FY18</t>
  </si>
  <si>
    <t>FY19</t>
  </si>
  <si>
    <t>FY20</t>
  </si>
  <si>
    <t>FY24e</t>
  </si>
  <si>
    <t>FY25e</t>
  </si>
  <si>
    <t>FY26e</t>
  </si>
  <si>
    <t>FY27e</t>
  </si>
  <si>
    <t>FY28e</t>
  </si>
  <si>
    <t>FY29e</t>
  </si>
  <si>
    <t>FY30e</t>
  </si>
  <si>
    <t>FY31e</t>
  </si>
  <si>
    <t>FY32e</t>
  </si>
  <si>
    <t>Revenue</t>
  </si>
  <si>
    <t>Y/Y % Change</t>
  </si>
  <si>
    <t>Y/Y % Change, cFX</t>
  </si>
  <si>
    <t>Memo:</t>
  </si>
  <si>
    <t>% of Revenue</t>
  </si>
  <si>
    <t>Margin</t>
  </si>
  <si>
    <t>Incremental Margin</t>
  </si>
  <si>
    <t>D&amp;A</t>
  </si>
  <si>
    <t>Interest</t>
  </si>
  <si>
    <t>Rate %</t>
  </si>
  <si>
    <t xml:space="preserve">n/m </t>
  </si>
  <si>
    <t>Taxes</t>
  </si>
  <si>
    <t>ETR %</t>
  </si>
  <si>
    <t>Capex</t>
  </si>
  <si>
    <t>Recurring FCF</t>
  </si>
  <si>
    <t>SBC</t>
  </si>
  <si>
    <t>Tax items</t>
  </si>
  <si>
    <t>Other</t>
  </si>
  <si>
    <t>Realized FCF</t>
  </si>
  <si>
    <t>Total Debt</t>
  </si>
  <si>
    <t>Cash</t>
  </si>
  <si>
    <t>Net Debt</t>
  </si>
  <si>
    <t>/ LTM EBITDA</t>
  </si>
  <si>
    <t>FCFE</t>
  </si>
  <si>
    <t>Cumulative FCFE</t>
  </si>
  <si>
    <t>% of Market Cap</t>
  </si>
  <si>
    <t>Basis Multiples</t>
  </si>
  <si>
    <t>TEV / Revenue</t>
  </si>
  <si>
    <t>TEV / CRC EBITDA</t>
  </si>
  <si>
    <t>P / Recurring FCF</t>
  </si>
  <si>
    <t>P / E</t>
  </si>
  <si>
    <t>Ten-Year IRR</t>
  </si>
  <si>
    <t>Forward Multiple</t>
  </si>
  <si>
    <t>Terminal Value</t>
  </si>
  <si>
    <t>Total</t>
  </si>
  <si>
    <t>Cash Flows</t>
  </si>
  <si>
    <t>MOIC ==&gt;</t>
  </si>
  <si>
    <t>IRR</t>
  </si>
  <si>
    <t>Capitalization</t>
  </si>
  <si>
    <t>Value</t>
  </si>
  <si>
    <t>Equity</t>
  </si>
  <si>
    <t>TEV</t>
  </si>
  <si>
    <t>Shares</t>
  </si>
  <si>
    <t>Historical Financials</t>
  </si>
  <si>
    <t>IPO</t>
  </si>
  <si>
    <t>Acquires Instagram</t>
  </si>
  <si>
    <t>Acquires WhatsApp</t>
  </si>
  <si>
    <t>IPO in May 2012</t>
  </si>
  <si>
    <t>1Q10</t>
  </si>
  <si>
    <t>2Q10</t>
  </si>
  <si>
    <t>3Q10</t>
  </si>
  <si>
    <t>4Q10</t>
  </si>
  <si>
    <t>2Q12</t>
  </si>
  <si>
    <t>3Q12</t>
  </si>
  <si>
    <t>4Q12</t>
  </si>
  <si>
    <t>1Q13</t>
  </si>
  <si>
    <t>2Q13</t>
  </si>
  <si>
    <t>3Q13</t>
  </si>
  <si>
    <t>4Q13</t>
  </si>
  <si>
    <t>1Q14</t>
  </si>
  <si>
    <t>2Q14</t>
  </si>
  <si>
    <t>3Q14</t>
  </si>
  <si>
    <t>4Q14</t>
  </si>
  <si>
    <t>1Q15</t>
  </si>
  <si>
    <t>2Q15</t>
  </si>
  <si>
    <t>3Q15</t>
  </si>
  <si>
    <t>4Q15</t>
  </si>
  <si>
    <t>4Q16</t>
  </si>
  <si>
    <t>1Q17</t>
  </si>
  <si>
    <t>2Q17</t>
  </si>
  <si>
    <t>3Q17</t>
  </si>
  <si>
    <t>4Q17</t>
  </si>
  <si>
    <t>1Q18</t>
  </si>
  <si>
    <t>2Q18</t>
  </si>
  <si>
    <t>3Q18</t>
  </si>
  <si>
    <t>4Q18</t>
  </si>
  <si>
    <t>1Q19</t>
  </si>
  <si>
    <t>2Q19</t>
  </si>
  <si>
    <t>3Q19</t>
  </si>
  <si>
    <t>4Q19</t>
  </si>
  <si>
    <t>1Q20</t>
  </si>
  <si>
    <t>2Q20</t>
  </si>
  <si>
    <t>3Q20</t>
  </si>
  <si>
    <t>4Q20</t>
  </si>
  <si>
    <t>1Q21</t>
  </si>
  <si>
    <t>2Q21</t>
  </si>
  <si>
    <t>FY07</t>
  </si>
  <si>
    <t>FY08</t>
  </si>
  <si>
    <t>FY09</t>
  </si>
  <si>
    <t>FY10</t>
  </si>
  <si>
    <t>FY12</t>
  </si>
  <si>
    <t>FY13</t>
  </si>
  <si>
    <t>Adjusted</t>
  </si>
  <si>
    <t>Financial Summary</t>
  </si>
  <si>
    <t>Opex</t>
  </si>
  <si>
    <t>/ Shares O/S</t>
  </si>
  <si>
    <t>FCF</t>
  </si>
  <si>
    <t>Recurring FCF per Share</t>
  </si>
  <si>
    <t>Cash taxes paid</t>
  </si>
  <si>
    <t>Leverage</t>
  </si>
  <si>
    <t>Total Debt (incl. Capital Leases / excl. Operating Leases)</t>
  </si>
  <si>
    <t>Cash (incl. Marketable Securities)</t>
  </si>
  <si>
    <t>Income Statement</t>
  </si>
  <si>
    <t>Cost of revenue</t>
  </si>
  <si>
    <t>Gross profit</t>
  </si>
  <si>
    <t>Research and development</t>
  </si>
  <si>
    <t>Marketing and sales</t>
  </si>
  <si>
    <t>General and administrative</t>
  </si>
  <si>
    <t>Total operating expenses</t>
  </si>
  <si>
    <t>Income from operations</t>
  </si>
  <si>
    <t>Interest expense</t>
  </si>
  <si>
    <t>n/a</t>
  </si>
  <si>
    <t>Other income, net</t>
  </si>
  <si>
    <t>Interest income, net</t>
  </si>
  <si>
    <t>Other income/(expense), net</t>
  </si>
  <si>
    <t>Interest and other income (expense), net</t>
  </si>
  <si>
    <t>Income before provision for income taxes</t>
  </si>
  <si>
    <t>Provision for income taxes</t>
  </si>
  <si>
    <t>Net income</t>
  </si>
  <si>
    <t>Less: Net income attributable to participating securities</t>
  </si>
  <si>
    <t>Net income attributable to Class A and B common stockholders</t>
  </si>
  <si>
    <t>Basic EPS</t>
  </si>
  <si>
    <t>Diluted EPS</t>
  </si>
  <si>
    <t>Wtd. avg. shares o/s - basic</t>
  </si>
  <si>
    <t>Wtd. avg. shares o/s - diluted</t>
  </si>
  <si>
    <t>Income Statement (cont.)</t>
  </si>
  <si>
    <t>Share-based compensation related to pre-2011 RSUs:</t>
  </si>
  <si>
    <t>Payroll taxe related to pre-2011 RSUs:</t>
  </si>
  <si>
    <t>Non-GAAP wtd. avg. diluted shares o/s</t>
  </si>
  <si>
    <t>Cash Flow Statement</t>
  </si>
  <si>
    <t>Depreciation and amortization</t>
  </si>
  <si>
    <t>Share-based compensation</t>
  </si>
  <si>
    <t>Deferred income taxes</t>
  </si>
  <si>
    <t>Income tax refundable</t>
  </si>
  <si>
    <t>Tax benefit from share-based award activity</t>
  </si>
  <si>
    <t>Excess tax benefits from share-based award activity</t>
  </si>
  <si>
    <t>Loss on disposal or write-off of assets</t>
  </si>
  <si>
    <t>Lease abandonments</t>
  </si>
  <si>
    <t>Accounts receivable</t>
  </si>
  <si>
    <t>Prepaid expenses and other current assets</t>
  </si>
  <si>
    <t>Other assets</t>
  </si>
  <si>
    <t>Accounts payable</t>
  </si>
  <si>
    <t>Partners payable</t>
  </si>
  <si>
    <t>Accrued expenses and other current liabilities</t>
  </si>
  <si>
    <t>Deferred revenue and deposits</t>
  </si>
  <si>
    <t>Operating lease right-of-use assets, net</t>
  </si>
  <si>
    <t>Operating lease liabilities, non-current</t>
  </si>
  <si>
    <t>Other liabilities</t>
  </si>
  <si>
    <t>Net cash provided by operating activities</t>
  </si>
  <si>
    <t>Purchases of property and equipment</t>
  </si>
  <si>
    <t>Purchases of marketable securities</t>
  </si>
  <si>
    <t>Sales of marketable securities</t>
  </si>
  <si>
    <t>Maturities of marketable securities</t>
  </si>
  <si>
    <t>Purchases of equity investments</t>
  </si>
  <si>
    <t>Acquisitions of businesses, net of cash acquired, and purchases of intangible assets</t>
  </si>
  <si>
    <t>Change in restricted cash and deposits</t>
  </si>
  <si>
    <t>Net cash used in investing activities</t>
  </si>
  <si>
    <t>Taxes paid related to net share settlement of equity awards</t>
  </si>
  <si>
    <t>Principal payments on capital lease and other financing obligations</t>
  </si>
  <si>
    <t>Proceeds from / (repayment of) long-term debt</t>
  </si>
  <si>
    <t>Net proceeds from issuances of convertible preferred stock</t>
  </si>
  <si>
    <t>Net proceeds from issuance of common stock</t>
  </si>
  <si>
    <t>Proceeds from exercise of stock options</t>
  </si>
  <si>
    <t>Repurchases of Class A common stock</t>
  </si>
  <si>
    <t>Proceeds from sale-leaseback transactions</t>
  </si>
  <si>
    <t>Net change in overdraft in cash pooling entities</t>
  </si>
  <si>
    <t>Other financing activities, net</t>
  </si>
  <si>
    <t>Net cash used in financing activities</t>
  </si>
  <si>
    <t>Effect of exchange rate changes on cash and cash equivalents</t>
  </si>
  <si>
    <t>Cash interest paid</t>
  </si>
  <si>
    <t>Cash taxes received</t>
  </si>
  <si>
    <t>Cash taxes paid, net</t>
  </si>
  <si>
    <t>Property and equipment acquired under capital lease</t>
  </si>
  <si>
    <t>Balance Sheet</t>
  </si>
  <si>
    <t>Cash and cash equivalents</t>
  </si>
  <si>
    <t>Marketable securities</t>
  </si>
  <si>
    <t>Accounts receivables</t>
  </si>
  <si>
    <t>Total current assets</t>
  </si>
  <si>
    <t>Property and equipment, net</t>
  </si>
  <si>
    <t>Goodwill</t>
  </si>
  <si>
    <t>Intangible assets, net</t>
  </si>
  <si>
    <t>Goodwill and intangible assets, net</t>
  </si>
  <si>
    <t>Operating lease right-of-use asset</t>
  </si>
  <si>
    <t>Equity investments</t>
  </si>
  <si>
    <t>Total assets</t>
  </si>
  <si>
    <t>Current portion of capital lease obligations</t>
  </si>
  <si>
    <t>Operating lease liabilities</t>
  </si>
  <si>
    <t>Defered revenue and deposits</t>
  </si>
  <si>
    <t>Developer partners payable</t>
  </si>
  <si>
    <t>Total current liabilities</t>
  </si>
  <si>
    <t>Long-term debt</t>
  </si>
  <si>
    <t>Capital lease obligations, less current portions</t>
  </si>
  <si>
    <t>Preferred stock convertible</t>
  </si>
  <si>
    <t>Total liabilities</t>
  </si>
  <si>
    <t>Total equity</t>
  </si>
  <si>
    <t>Revenue Detail</t>
  </si>
  <si>
    <t>Advertising</t>
  </si>
  <si>
    <t>Payments and Other Fees</t>
  </si>
  <si>
    <t>US &amp; Canada</t>
  </si>
  <si>
    <t>Europe</t>
  </si>
  <si>
    <t>Asia-Pacific</t>
  </si>
  <si>
    <t>Rest of World</t>
  </si>
  <si>
    <t>Advertising ARPU</t>
  </si>
  <si>
    <t>Excluding Change ==&gt;</t>
  </si>
  <si>
    <t>FX</t>
  </si>
  <si>
    <t>Start Date</t>
  </si>
  <si>
    <t>End Date</t>
  </si>
  <si>
    <t>Key FX Rates</t>
  </si>
  <si>
    <t>USDGBP</t>
  </si>
  <si>
    <t>GBPUSD</t>
  </si>
  <si>
    <t>USDEUR</t>
  </si>
  <si>
    <t>EURUSD</t>
  </si>
  <si>
    <t>USDJPY</t>
  </si>
  <si>
    <t>JPYUSD</t>
  </si>
  <si>
    <t>USDAUD</t>
  </si>
  <si>
    <t>AUDUSD</t>
  </si>
  <si>
    <t>USDINR</t>
  </si>
  <si>
    <t>INRUSD</t>
  </si>
  <si>
    <t>USDBRL</t>
  </si>
  <si>
    <t>BRLUSD</t>
  </si>
  <si>
    <t>Y/Y % Change:</t>
  </si>
  <si>
    <t>% of Revenue:</t>
  </si>
  <si>
    <t>Share-Based Compensation</t>
  </si>
  <si>
    <t>Total share-based compensation</t>
  </si>
  <si>
    <t>Payroll Taxes Related to Share-Based Compensation</t>
  </si>
  <si>
    <t>Total payroll taxes related to share-based compensation</t>
  </si>
  <si>
    <t>Total share-based compensation related to pre-2011 RSUs</t>
  </si>
  <si>
    <t>Total payroll taxe related to pre-2011 RSUs</t>
  </si>
  <si>
    <t>Amortization of Intangible Assets</t>
  </si>
  <si>
    <t>Total amortization of intangible assets</t>
  </si>
  <si>
    <t>Net change in cash and cash equivalents</t>
  </si>
  <si>
    <t>Supplemental</t>
  </si>
  <si>
    <t>Total Revenue</t>
  </si>
  <si>
    <t>Total Advertising Revenue</t>
  </si>
  <si>
    <t>Total Revenue by Type</t>
  </si>
  <si>
    <t>Mobile</t>
  </si>
  <si>
    <t>Desktop</t>
  </si>
  <si>
    <t>Advertising Revenue by Channel</t>
  </si>
  <si>
    <t>% of Total</t>
  </si>
  <si>
    <t>Price per Impression - Y/Y % change</t>
  </si>
  <si>
    <t>Number of Ad Impressions - Y/Y % change</t>
  </si>
  <si>
    <t>Q/Q % Change</t>
  </si>
  <si>
    <t>Core FB DAUs</t>
  </si>
  <si>
    <t>Total Core FB DAUs</t>
  </si>
  <si>
    <t>Core FB MAUs</t>
  </si>
  <si>
    <t>Total Core FB MAUs</t>
  </si>
  <si>
    <t>Core FB DAUs / MAUs</t>
  </si>
  <si>
    <t>Total Core FB DAUs / MAUs</t>
  </si>
  <si>
    <t>Total ARPU</t>
  </si>
  <si>
    <t>Core FB Usage/Engagement Data</t>
  </si>
  <si>
    <t>Family DAP / MAP</t>
  </si>
  <si>
    <t>Family Daily Active People (DAP) (in billions)</t>
  </si>
  <si>
    <t>Family Monthly Active People (MAP) (in billions)</t>
  </si>
  <si>
    <t>Monetization Metrics</t>
  </si>
  <si>
    <t>Core FB ARPU (Total Revenue / Core FB MAUs)</t>
  </si>
  <si>
    <t>Core FB Advertising ARPU (Advertising Revenue / Core FB MAUs)</t>
  </si>
  <si>
    <t>2-Year CAGR</t>
  </si>
  <si>
    <t>Y/Y % Change (FX-Neutral):</t>
  </si>
  <si>
    <t>2-Year CAGR (FX-Neutral):</t>
  </si>
  <si>
    <t>($ in mm)</t>
  </si>
  <si>
    <t>Quarterly,</t>
  </si>
  <si>
    <t>FY11r</t>
  </si>
  <si>
    <t>FYE December 31,</t>
  </si>
  <si>
    <t>Y/Y % Change (FX-Neutral)</t>
  </si>
  <si>
    <t>2-Year CAGR (FX-Neutral)</t>
  </si>
  <si>
    <t>2Q16r</t>
  </si>
  <si>
    <t>3Q16r</t>
  </si>
  <si>
    <t>1Q16r</t>
  </si>
  <si>
    <t>1Q11r</t>
  </si>
  <si>
    <t>2Q11r</t>
  </si>
  <si>
    <t>3Q11r</t>
  </si>
  <si>
    <t>4Q11r</t>
  </si>
  <si>
    <t>1Q12r</t>
  </si>
  <si>
    <t>CRC EBIT</t>
  </si>
  <si>
    <t>CRC Opex</t>
  </si>
  <si>
    <t>CRC EBITDA</t>
  </si>
  <si>
    <t>CRC NI</t>
  </si>
  <si>
    <t>CRC EPS</t>
  </si>
  <si>
    <t>CRC EBITDA - Capex</t>
  </si>
  <si>
    <r>
      <rPr>
        <i/>
        <u/>
        <sz val="8"/>
        <color theme="1"/>
        <rFont val="Arial"/>
        <family val="2"/>
      </rPr>
      <t>Memo:</t>
    </r>
    <r>
      <rPr>
        <i/>
        <sz val="8"/>
        <color theme="1"/>
        <rFont val="Arial"/>
        <family val="2"/>
      </rPr>
      <t xml:space="preserve"> Capex / Revenue</t>
    </r>
  </si>
  <si>
    <t>Total Employees</t>
  </si>
  <si>
    <t>Net Adds</t>
  </si>
  <si>
    <t>Revenue per Average Employee</t>
  </si>
  <si>
    <t>Opex per Average Employee</t>
  </si>
  <si>
    <t>Total Expenses per Average Employee</t>
  </si>
  <si>
    <t>Consensus</t>
  </si>
  <si>
    <t>$/Share</t>
  </si>
  <si>
    <t>Opex Detail</t>
  </si>
  <si>
    <t>3Q21</t>
  </si>
  <si>
    <t>Tax Items</t>
  </si>
  <si>
    <t>FY22</t>
  </si>
  <si>
    <t>CRC EBIT excl. FRL</t>
  </si>
  <si>
    <t>Change in Equity (incl. Proceeds from Option Exercises)</t>
  </si>
  <si>
    <t>Acquisitions, Cash Portion</t>
  </si>
  <si>
    <t>Equity Investments</t>
  </si>
  <si>
    <t>Taxes Paid Related to Net Share Settlement of Equity Awards</t>
  </si>
  <si>
    <t>FRL Costs</t>
  </si>
  <si>
    <r>
      <rPr>
        <i/>
        <u/>
        <sz val="8"/>
        <color theme="1"/>
        <rFont val="Arial"/>
        <family val="2"/>
      </rPr>
      <t>Memo:</t>
    </r>
    <r>
      <rPr>
        <i/>
        <sz val="8"/>
        <color theme="1"/>
        <rFont val="Arial"/>
        <family val="2"/>
      </rPr>
      <t xml:space="preserve"> D&amp;A / Revenue</t>
    </r>
  </si>
  <si>
    <t>TEV / CRC EBITDA - Capex</t>
  </si>
  <si>
    <t>Segment Detail</t>
  </si>
  <si>
    <t>Other Revenue</t>
  </si>
  <si>
    <t>Family of Apps</t>
  </si>
  <si>
    <t>Reality Labs</t>
  </si>
  <si>
    <t>Total Income from Operations</t>
  </si>
  <si>
    <t>4Q21</t>
  </si>
  <si>
    <t>FY21</t>
  </si>
  <si>
    <t>GAAP expenses</t>
  </si>
  <si>
    <t>P / E excl. FRL</t>
  </si>
  <si>
    <t xml:space="preserve">n/a </t>
  </si>
  <si>
    <t>FY33e</t>
  </si>
  <si>
    <t>1Q22</t>
  </si>
  <si>
    <t>META</t>
  </si>
  <si>
    <t>Simple Model [Case 1 - Base Case]</t>
  </si>
  <si>
    <t>2Q22</t>
  </si>
  <si>
    <t>3Q22</t>
  </si>
  <si>
    <t>Abandonment charges for data center assets</t>
  </si>
  <si>
    <t>Fair value adjustments for non-marketable securities</t>
  </si>
  <si>
    <t>4Q22</t>
  </si>
  <si>
    <t>Impairment charges for facilities consolidation</t>
  </si>
  <si>
    <t>1Q23</t>
  </si>
  <si>
    <t>Key FX Weights</t>
  </si>
  <si>
    <t>Estimated Y/Y FX Impact</t>
  </si>
  <si>
    <t>Delta</t>
  </si>
  <si>
    <t>Actual Y/Y FX Impact</t>
  </si>
  <si>
    <t>FX Impact</t>
  </si>
  <si>
    <r>
      <rPr>
        <i/>
        <u/>
        <sz val="8"/>
        <color theme="1"/>
        <rFont val="Arial"/>
        <family val="2"/>
      </rPr>
      <t>Memo:</t>
    </r>
    <r>
      <rPr>
        <i/>
        <sz val="8"/>
        <color theme="1"/>
        <rFont val="Arial"/>
        <family val="2"/>
      </rPr>
      <t xml:space="preserve"> Estimated Q/Q FX Impact</t>
    </r>
  </si>
  <si>
    <t>Impact of 2Q22 Useful Life Change</t>
  </si>
  <si>
    <t>Impact of 4Q22 Useful Life Change</t>
  </si>
  <si>
    <t>Total Impact of Useful Life Change</t>
  </si>
  <si>
    <t>CRC EBIT Growth Impact</t>
  </si>
  <si>
    <t>FY34e</t>
  </si>
  <si>
    <t>Simple Model [Case 2 - Upside Case]</t>
  </si>
  <si>
    <t>Simple Model [Case 3 - Downside Case]</t>
  </si>
  <si>
    <t>允䅁䕁䄴䅁䍁䅁䅁䅁䵂䅁䅁䅅䅁䍁䅑兖呂䕁䅑兑噂䕁䅑䅁䑁䅁䅁䅅䅁䍁䅑兖呂䕁䅑村卂䕁䅷䅁䱁䅁䅁䅅䅁䍁䅑兖呂䕁䅑兒噂䙁䅉䅁噁䅁䅁䅅䅁䍁䅑兖呂䕁䅑睒䍂䙁䅁䅁䕁䅁䅁䅅䅁䍁䅑兖呂䕁䅑兓佂䙁䅉䅁十䅁䅁䅅䅁䍁䅑兖呂䕁䅑杓兂䙁䅫䅁橁䅁䅁杅䅁䑁䅅睌硁䍁䄸杍睁䑁䅅䅍䅁䅁䅣䅁十䅁䅁免癁䑁䅅睌祁䑁䅁免硁䅁䅁兔䅁䉁䅉䅁硁䍁䄸免癁䑁䅉䅍硁䑁䅉䅁㡁䅁䅁杆䅁䑁䅅杍癁䑁䅍免癁䑁䅉䅍硁䑁䅁䅁佁䅁䅁杆䅁䑁䅅杍癁䑁䅍免癁䑁䅉䅍硁䑁䅅䅁婁䅁䅁杆䅁䑁䅅杍癁䑁䅍免癁䑁䅉䅍硁䑁䅉䅁晁䅁䅁杆䅁䑁䅅杍癁䑁䅍免癁䑁䅉䅍硁䑁䅍䅁䵁䅁䅁杆䅁䑁䅅杍癁䑁䅍免癁䑁䅉䅍硁䑁䅑䅁流䅁䅁杆䅁䑁䅅杍癁䑁䅍免癁䑁䅉䅍硁䑁䅕䅁獁䅁䅁杆䅁䑁䅅杍癁䑁䅍免癁䑁䅉䅍硁䑁䅙䅁桁䅁䅁杆䅁䑁䅅杍癁䑁䅍免癁䑁䅉䅍硁䑁䅣䅁煁䅁䅁杆䅁䑁䅅杍癁䑁䅍免癁䑁䅉䅍硁䑁䅧䅁扁䅁䅁杆䅁䑁䅅杍癁䑁䅍免癁䑁䅉䅍硁䑁䅫䅁㙁䅁䅁杆䅁䑁䅅杍癁䑁䅍免癁䑁䅉䅍祁䑁䅁䅁塁䅁䅁杆䅁䑁䅅杍癁䑁䅍免癁䑁䅉䅍祁䑁䅅䅁䙁䅁䅁杆䅁䑁䅅杍癁䑁䅍免癁䑁䅉䅍祁䑁䅉䅁⭁䅁䅁䅆䅁䑁䅍睌穁䑁䅅睌祁䑁䅁免睁䅁䅁䅃䅁䉁䅑䅁穁䍁䄸睍硁䍁䄸杍睁䑁䅅免䅁䅁䄸䅁啁䅁䅁睍癁䑁䅍免癁䑁䅉䅍硁䑁䅉䅁䭁䅁䅁䅆䅁䑁䅍睌穁䑁䅅睌祁䑁䅁免穁䅁䅁䅉䅁䉁䅑䅁穁䍁䄸睍硁䍁䄸杍睁䑁䅅䅎䅁䍁䅑䅁啁䅁䅁睍癁䑁䅍免癁䑁䅉䅍硁䑁䅕䅁灁䅁䅁䅆䅁䑁䅍睌穁䑁䅅睌祁䑁䅁免㉁䅁䅁兌䅁䉁䅑䅁穁䍁䄸睍硁䍁䄸杍睁䑁䅅睎䅁䉁䅧䅁啁䅁䅁睍癁䑁䅍免癁䑁䅉䅍硁䑁䅧䅁ぁ䅁䅁䅆䅁䑁䅍睌穁䑁䅅睌祁䑁䅁免㕁䅁䅁充䅁䉁䅑䅁穁䍁䄸睍硁䍁䄸杍睁䑁䅉䅍䅁䑁䅍䅁啁䅁䅁睍癁䑁䅍免癁䑁䅉䅍祁䑁䅅䅁祁䅁䅁䅆䅁䑁䅍睌穁䑁䅅睌祁䑁䅁杍祁䅁䅁免䅁䉁䅑䅁穁䍁䄸睍硁䍁䄸杍睁䑁䅉睍䅁䑁䅧䅁啁䅁䅁李癁䑁䅍䅍癁䑁䅉䅍硁䑁䅁䅁䩁䅁䅁䅆䅁䑁䅙睌穁䑁䅁睌祁䑁䅁免硁䅁䅁睅䅁䉁䅑䅁㉁䍁䄸睍睁䍁䄸杍睁䑁䅅杍䅁䉁䅯䅁啁䅁䅁李癁䑁䅍䅍癁䑁䅉䅍硁䑁䅍䅁楁䅁䅁䅆䅁䑁䅙睌穁䑁䅁睌祁䑁䅁免ぁ䅁䅁䅈䅁䉁䅑䅁㉁䍁䄸睍睁䍁䄸杍睁䑁䅅兎䅁䍁䅳䅁啁䅁䅁李癁䑁䅍䅍癁䑁䅉䅍硁䑁䅙䅁畁䅁䅁䅆䅁䑁䅙睌穁䑁䅁睌祁䑁䅁免㍁䅁䅁杈䅁䉁䅑䅁㉁䍁䄸睍睁䍁䄸杍睁䑁䅅䅏䅁䑁䅕䅁啁䅁䅁李癁䑁䅍䅍癁䑁䅉䅍硁䑁䅫䅁湁䅁䅁䅆䅁䑁䅙睌穁䑁䅁睌祁䑁䅁杍睁䅁䅁睎䅁䉁䅑䅁㉁䍁䄸睍睁䍁䄸杍睁䑁䅉免䅁䑁䅳䅁啁䅁䅁李癁䑁䅍䅍癁䑁䅉䅍祁䑁䅉䅁㥁䅁䅁䅆䅁䑁䅙睌穁䑁䅁睌祁䑁䅁杍穁䅁䅁兓䅁䉁䅑䅁㕁䍁䄸睍睁䍁䄸杍睁䑁䅅䅍䅁䅁䄰䅁啁䅁䅁兏癁䑁䅍䅍癁䑁䅉䅍硁䑁䅅䅁䍁䅁䅁䅆䅁䑁䅫睌穁䑁䅁睌祁䑁䅁免祁䅁䅁先䅁䉁䅑䅁㕁䍁䄸睍睁䍁䄸杍睁䑁䅅睍䅁䅁䅙䅁啁䅁䅁兏癁䑁䅍䅍癁䑁䅉䅍硁䑁䅑䅁汁䅁䅁䅆䅁䑁䅫睌穁䑁䅁睌祁䑁䅁免ㅁ䅁䅁杆䅁䉁䅑䅁㕁䍁䄸睍睁䍁䄸杍睁䑁䅅李䅁䑁䅁䅁啁䅁䅁兏癁䑁䅍䅍癁䑁䅉䅍硁䑁䅣䅁癁䅁䅁䅆䅁䑁䅫睌穁䑁䅁睌祁䑁䅁免㑁䅁䅁兏䅁䉁䅑䅁㕁䍁䄸睍睁䍁䄸杍睁䑁䅅兏䅁䑁䅙䅁啁䅁䅁兏癁䑁䅍䅍癁䑁䅉䅍祁䑁䅁䅁潁䅁䅁䅆䅁䑁䅫睌穁䑁䅁睌祁䑁䅁杍硁䅁䅁䅅䅁䉁䅑䅁㕁䍁䄸睍睁䍁䄸杍睁䑁䅉杍䅁䉁䅑䅁佁䅁䅁杒婂䑁䅉䅍祁䑁䅉䅁䑂䅁䅁杄䅁䕁䅙兗祁䑁䅁杍穁䅁䅁兑䅁䅁䄴䅁䝂䙁䅫杍睁䑁䅉䅎䅁䕁䅳䅁奁䅁䅁兓剂䑁䅅睍祁䑁䅕睍ぁ䑁䅣杍㑁䅁䅁䅁䅁䉁䅯䅁䩂䙁䅅睘䑂䕁䅅䅕䙂䙁䅧睘䙂䙁䅍䅖䅁䕁䅙䅁楁䅁䅁兓剂䙁䄸睑䉂䙁䅍䅓時䕁䄸䅕䙂䙁䅉睘䙂䙁䅍䅖䅁䕁䅣䅁啁䅁䅁兓剂䙁䄸䅒䉂䙁䄸兒呂䙁䅑䅁䕂䅁䅁䅇䅁䕁䅫兕時䕁䅕村䩂䙁䅑睘䙂䙁䅍䅖䅁䕁䅁䅁煁䅁䅁兓剂䙁䄸兒䝂䕁䅙兒䑂䙁䅑兓坂䕁䅕睘啂䕁䅅䅗時䕁䅕睕啂䅁䅁兒䅁䍁䅉䅁䩂䙁䅅睘䵂䕁䅅睕啂䙁䅍兑䵂䕁䅕䅕卂䕁䅫睑䙂䅁䅁允䅁䍁䅁䅁䩂䙁䅅睘佂䕁䅕䅖時䕁䅑兒䍂䙁䅑睘䙂䙁䅍䅖䅁䕁䅧䅁敁䅁䅁兓剂䙁䄸杕䙂䙁䅙兒佂䙁䅕兒時䕁䅕睕啂䅁䅁村䅁䅁䅯䅁乂䕁䅕䅖䉂䅁䅁睐䅁䅁䅙䅁佂䕁䅅䅁䭂䅁䅁䅄䅁䅁杷允䅁䅁䅍䅁䑁䝁䅑䅁䭁䅁䅑䅁䭁䅁䅅䅁䉁䅁䅁允䅁䅁䅕䭢䭚噲㉲稸䴸䅉䅅䅁䙁䅁䅁睁湂䅁䅁权䑁䅁䅁权䉁䅁䅁兂䅁䅁䅁偉汶䅑䅯兓䅁䅁䅅䅁䉁䅁䅁兂煂估㑶䕔氷睐杷允䅁䅁䅍䅁䑁䝁䅑䅁䭁䉁䅕䅁䭁䅁䅅䅁䉁䅁䅁允䅁䅁䅕㙹扺敋灧吸䴸䅉䅅䅁䑁䅁䅁睁歂䅁䅁权䑁䅁䅁权䉁䅁䅁允䅁䅁䅅䅁䙁䍁㥹㉨煉敍⽕䍄䉁䅁䅁睁䅁䅁䅍䅚䅁䅁䅯睉䅁䅁䅯允䅁䅁䅅䅁䉁䅁䅁兂ㅁ桳䩤䙐㥊睐杷允䅁䅁䅍䅁䑁䝁䅑䅁䭁䉁䅉䅁䭁䅁䅅䅁䉁䅁䅁允䅁䅁䅕嘫摌㤫摌䑩䴸䅉䅅䅁䑁䅁䅁睁歂䅁䅁权䱁䅁䅁权䉁䅁䅁允䅁䅁䅅䅁䙁䵁牲㉫乷猱⽫䍄䉁䅁䅁兂䅁䅁䅍睚䅁䅁䅯䅂䅁䅁䅯允䅁䅁䅕䅁䅁䍁㝄唵䭁䕁䅫䅁䉁䅁䅁允䅁䅁䅕午啤塂発稸䴸䅉䅅䅁䙁䅁䅁睁湂䅁䅁权十䅁䅁权䉁䅁䅁兂䅁䅁䅁偉汶䅑䅯兓䅁䅁䅅䅁䉁䅁䅁兂⽄橩氳佇䤶睐杷允䅁䅁䅕䅁䑁䝁䅣䅁䭁䅁䅳䅁䭁䅁䅅䅁䙁䅁䅁䅁杁⬫䅖权䩂䅁䅁允䅁䅁䅅䅁䙁䙁䥴扑䭃㡬⽫䍄䉁䅁䅁兂䅁䅁䅍睚䅁䅁䅯睉䅁䅁䅯允䅁䅁䅕䅁䅁䍁㝄唵䭁䕁䅫䅁䉁䅁䅁允䅁䅁䅕爫䡱ど㡧橦䴸䅉䅅䅁䙁䅁䅁睁湂䅁䅁权噁䅁䅁权䉁䅁䅁兂䅁䅁䅁偉汶䅑䅯兓䅁䅁䅅䅁䉁䅁䅁兂穁䄹獈湭硈睐㴽</t>
  </si>
  <si>
    <t>2Q23</t>
  </si>
  <si>
    <t>CRC Expenses</t>
  </si>
  <si>
    <t>3Q24e</t>
  </si>
  <si>
    <t>4Q24e</t>
  </si>
  <si>
    <t>1Q24e</t>
  </si>
  <si>
    <t>2Q24e</t>
  </si>
  <si>
    <t>Q/Q % Change (FX-Neutral)</t>
  </si>
  <si>
    <t>FY23</t>
  </si>
  <si>
    <t>3Q23</t>
  </si>
  <si>
    <t>4Q23</t>
  </si>
  <si>
    <t>1Q24</t>
  </si>
  <si>
    <t>Consensus Revenue</t>
  </si>
  <si>
    <t>FQ42023</t>
  </si>
  <si>
    <t>FQ42024</t>
  </si>
  <si>
    <t>FQ12024</t>
  </si>
  <si>
    <t>FQ22024</t>
  </si>
  <si>
    <t>FQ32024</t>
  </si>
  <si>
    <t>FY2023</t>
  </si>
  <si>
    <t>FY2024</t>
  </si>
  <si>
    <t>Consensus EBIT</t>
  </si>
  <si>
    <t>D&amp;A Model - Case 1</t>
  </si>
  <si>
    <t>FY11</t>
  </si>
  <si>
    <t>D&amp;A Model</t>
  </si>
  <si>
    <t>Key Inputs</t>
  </si>
  <si>
    <t>Original Average Useful Life of Assets (Years)</t>
  </si>
  <si>
    <t>Change in Depreciable Assets</t>
  </si>
  <si>
    <t>Purchase of PP&amp;E</t>
  </si>
  <si>
    <t>Disposal of PP&amp;E</t>
  </si>
  <si>
    <t>Purchase of PP&amp;E, Net</t>
  </si>
  <si>
    <t>Impact of Construction in Progress</t>
  </si>
  <si>
    <t>Depreciation</t>
  </si>
  <si>
    <t>Estimated Depreciation</t>
  </si>
  <si>
    <t>Actual Depreciation</t>
  </si>
  <si>
    <t>Variance %</t>
  </si>
  <si>
    <t>Variance $</t>
  </si>
  <si>
    <t>Amortization</t>
  </si>
  <si>
    <t>Estimated D&amp;A</t>
  </si>
  <si>
    <t>Gross Assets, EOP</t>
  </si>
  <si>
    <t>Accumulated Depreciation, EOP</t>
  </si>
  <si>
    <t>Net Assets, EOP</t>
  </si>
  <si>
    <t>PP&amp;E Detail</t>
  </si>
  <si>
    <t>Gross PP&amp;E</t>
  </si>
  <si>
    <t>Gross PP&amp;E, EOP</t>
  </si>
  <si>
    <t>Gross PP&amp;E, BOP</t>
  </si>
  <si>
    <t>Accumulated Depreciation</t>
  </si>
  <si>
    <t>Accumulated Depreciation, BOP</t>
  </si>
  <si>
    <t>Depreciation of PP&amp;E</t>
  </si>
  <si>
    <r>
      <rPr>
        <i/>
        <u/>
        <sz val="8"/>
        <color theme="1"/>
        <rFont val="Arial"/>
        <family val="2"/>
      </rPr>
      <t>Memo:</t>
    </r>
    <r>
      <rPr>
        <i/>
        <sz val="8"/>
        <color theme="1"/>
        <rFont val="Arial"/>
        <family val="2"/>
      </rPr>
      <t xml:space="preserve"> Implied Life of Assets (Years)</t>
    </r>
  </si>
  <si>
    <t>Net PP&amp;E</t>
  </si>
  <si>
    <t>Net PP&amp;E, EOP</t>
  </si>
  <si>
    <t>Net PP&amp;E, BOP</t>
  </si>
  <si>
    <t>Land</t>
  </si>
  <si>
    <t>Buildings</t>
  </si>
  <si>
    <t>3-5</t>
  </si>
  <si>
    <t>4-5</t>
  </si>
  <si>
    <t>Servers and Network Assets</t>
  </si>
  <si>
    <t>Leasehold Improvements</t>
  </si>
  <si>
    <t>Equipment and Other</t>
  </si>
  <si>
    <t>Finance Lease Right-of-Use Assets</t>
  </si>
  <si>
    <t>Construction in Progress</t>
  </si>
  <si>
    <t>3-4</t>
  </si>
  <si>
    <t>2-5</t>
  </si>
  <si>
    <t>15-20</t>
  </si>
  <si>
    <t>4-20</t>
  </si>
  <si>
    <t>3-30</t>
  </si>
  <si>
    <t>3-25</t>
  </si>
  <si>
    <t>3-20</t>
  </si>
  <si>
    <t>25-30</t>
  </si>
  <si>
    <t>1-25</t>
  </si>
  <si>
    <r>
      <rPr>
        <i/>
        <u/>
        <sz val="8"/>
        <color theme="1"/>
        <rFont val="Arial"/>
        <family val="2"/>
      </rPr>
      <t xml:space="preserve">Memo: </t>
    </r>
    <r>
      <rPr>
        <i/>
        <sz val="8"/>
        <color theme="1"/>
        <rFont val="Arial"/>
        <family val="2"/>
      </rPr>
      <t>Change in Useful Life of Servers and Network Assets</t>
    </r>
  </si>
  <si>
    <t>3 to 4</t>
  </si>
  <si>
    <t>4 to 4.5 in 2Q22</t>
  </si>
  <si>
    <t>4.5 to 5 in 4Q22</t>
  </si>
  <si>
    <t>'23 Average Useful Life of Assets (Years)</t>
  </si>
  <si>
    <t>'21 Average Useful Life of Assets (Years)</t>
  </si>
  <si>
    <t>'22 Average Useful Life of Assets (Years)</t>
  </si>
  <si>
    <t>FY35e</t>
  </si>
  <si>
    <t>D&amp;A Model - Case 2</t>
  </si>
  <si>
    <t>D&amp;A Model - Case 3</t>
  </si>
  <si>
    <t>Hedgeye Ad Agency META Ad Spend</t>
  </si>
  <si>
    <t>Meta US &amp; Canada Ad Rev</t>
  </si>
  <si>
    <t>Meta Ad Rev, cFX</t>
  </si>
  <si>
    <t>Dividends</t>
  </si>
  <si>
    <t>Revenue by Segment</t>
  </si>
  <si>
    <t>Income from Operations by Segment</t>
  </si>
  <si>
    <t>Advertising FX Impact</t>
  </si>
  <si>
    <t xml:space="preserve">Non-Advertising FX Impact </t>
  </si>
  <si>
    <t>Total FX Impact</t>
  </si>
  <si>
    <t>Non-Advertising FX Impact</t>
  </si>
  <si>
    <t>Y/Y FX Impact ($):</t>
  </si>
  <si>
    <t>Y/Y FX Impact (%):</t>
  </si>
  <si>
    <t>Total Revenue by User Geography</t>
  </si>
  <si>
    <t>Advertising Revenue by User Geography</t>
  </si>
  <si>
    <t>Total Revenue by Customer Geography</t>
  </si>
  <si>
    <t>Global (ex-China) Consumer Spending</t>
  </si>
  <si>
    <t>FYE Decemer 31,</t>
  </si>
  <si>
    <t>% of Global (ex-China) Consumer Spending</t>
  </si>
  <si>
    <t>Global (ex-China) Digital Ad Spend</t>
  </si>
  <si>
    <t>% of Global (ex-China) Digital Ad Spend</t>
  </si>
  <si>
    <t>META Ad Revenue</t>
  </si>
  <si>
    <t>META Other Revenue</t>
  </si>
  <si>
    <t>'18-'23</t>
  </si>
  <si>
    <t>CAGR</t>
  </si>
  <si>
    <t>Global (ex-China) Total Ad Spend</t>
  </si>
  <si>
    <t>% of Global (ex-China) Total Ad Spend</t>
  </si>
  <si>
    <t>Global (ex-China) Non-Digital Ad Spend</t>
  </si>
  <si>
    <t>Case 1 - Base Case</t>
  </si>
  <si>
    <t>Case 2 - Upside Case</t>
  </si>
  <si>
    <t>Case 3 - Downside Case</t>
  </si>
  <si>
    <r>
      <rPr>
        <i/>
        <u/>
        <sz val="8"/>
        <color theme="1"/>
        <rFont val="Arial"/>
        <family val="2"/>
      </rPr>
      <t>Memo:</t>
    </r>
    <r>
      <rPr>
        <i/>
        <sz val="8"/>
        <color theme="1"/>
        <rFont val="Arial"/>
        <family val="2"/>
      </rPr>
      <t xml:space="preserve"> US Consumer Spending</t>
    </r>
  </si>
  <si>
    <r>
      <rPr>
        <i/>
        <u/>
        <sz val="8"/>
        <color theme="1"/>
        <rFont val="Arial"/>
        <family val="2"/>
      </rPr>
      <t>Memo:</t>
    </r>
    <r>
      <rPr>
        <i/>
        <sz val="8"/>
        <color theme="1"/>
        <rFont val="Arial"/>
        <family val="2"/>
      </rPr>
      <t xml:space="preserve"> US Total Ad Spend as % of Consumer Spending</t>
    </r>
  </si>
  <si>
    <r>
      <rPr>
        <i/>
        <u/>
        <sz val="8"/>
        <color theme="1"/>
        <rFont val="Arial"/>
        <family val="2"/>
      </rPr>
      <t>Memo:</t>
    </r>
    <r>
      <rPr>
        <i/>
        <sz val="8"/>
        <color theme="1"/>
        <rFont val="Arial"/>
        <family val="2"/>
      </rPr>
      <t xml:space="preserve"> US Digital Ad Spend as % of Total Ad Spend</t>
    </r>
  </si>
  <si>
    <r>
      <rPr>
        <i/>
        <u/>
        <sz val="8"/>
        <color theme="1"/>
        <rFont val="Arial"/>
        <family val="2"/>
      </rPr>
      <t>Memo:</t>
    </r>
    <r>
      <rPr>
        <i/>
        <sz val="8"/>
        <color theme="1"/>
        <rFont val="Arial"/>
        <family val="2"/>
      </rPr>
      <t xml:space="preserve"> US Total Ad Spend </t>
    </r>
  </si>
  <si>
    <r>
      <rPr>
        <i/>
        <u/>
        <sz val="8"/>
        <color theme="1"/>
        <rFont val="Arial"/>
        <family val="2"/>
      </rPr>
      <t>Memo:</t>
    </r>
    <r>
      <rPr>
        <i/>
        <sz val="8"/>
        <color theme="1"/>
        <rFont val="Arial"/>
        <family val="2"/>
      </rPr>
      <t xml:space="preserve"> US Digital Ad Spend</t>
    </r>
  </si>
  <si>
    <r>
      <rPr>
        <i/>
        <u/>
        <sz val="8"/>
        <color theme="1"/>
        <rFont val="Arial"/>
        <family val="2"/>
      </rPr>
      <t>Memo:</t>
    </r>
    <r>
      <rPr>
        <i/>
        <sz val="8"/>
        <color theme="1"/>
        <rFont val="Arial"/>
        <family val="2"/>
      </rPr>
      <t xml:space="preserve"> Global (ex-China) E-Commerce Sales (incl. Online Travel)</t>
    </r>
  </si>
  <si>
    <t>'18-'24e</t>
  </si>
  <si>
    <t>'24e-'29e</t>
  </si>
  <si>
    <t>'24e-'34e</t>
  </si>
  <si>
    <r>
      <rPr>
        <i/>
        <u/>
        <sz val="8"/>
        <color theme="1"/>
        <rFont val="Arial"/>
        <family val="2"/>
      </rPr>
      <t>Memo:</t>
    </r>
    <r>
      <rPr>
        <i/>
        <sz val="8"/>
        <color theme="1"/>
        <rFont val="Arial"/>
        <family val="2"/>
      </rPr>
      <t xml:space="preserve"> % of Global (ex-China) E-Comm. + Online Travel</t>
    </r>
  </si>
  <si>
    <t>Family DAPs / MAPs</t>
  </si>
  <si>
    <t>Date</t>
  </si>
  <si>
    <t>Period</t>
  </si>
  <si>
    <t>Outlook Commentary</t>
  </si>
  <si>
    <t>We expect first quarter 2023 total revenue to be in the range of $26 billion to $28.5 billion. Our guidance assumes foreign currency will be an approximately 2% headwind to year-over-year total revenue growth in the first quarter based on current exchange rates.</t>
  </si>
  <si>
    <t>We anticipate our full year 2023 total expenses will be in the range of $89 billion to $95 billion, lowered from our prior outlook of $94 billion to $100 billion due to slower anticipated growth in payroll expenses and cost of revenue. We now expect to record an estimated $1 billion in restructuring charges in 2023 related to consolidating our office facilities footprint. This is down from our prior estimate of $2 billion as we recorded a portion of the charges in the fourth quarter of 2022. We may incur additional restructuring charges as we progress further in our efficiency efforts.
We expect capital expenditures to be in the range of $30 billion to $33 billion, lowered from our prior estimate of $34 billion to $37 billion. The reduced outlook reflects our updated plans for lower data center construction spend in 2023 as we shift to a new data center architecture that is more cost efficient and can support both AI and non-AI workloads. Substantially, all of our capital expenditures continue to support the Family of Apps.
Absent any changes to U.S. tax law, we expect our full year 2023 tax rate percentage to be in the low 20s.</t>
  </si>
  <si>
    <t>We expect second quarter 2023 total revenue to be in the range of $29.5 billion to $32 billion. Our guidance assumes foreign currency headwinds will be less than 1% to year-over-year total revenue growth in the second quarter based on current exchange rates.
We anticipate our full year 2023 total expenses will be in the range of $86 million to $90 billion, updated from our prior outlook provided in March. This outlook includes $3 billion to $5 billion of restructuring costs related to facilities consolidation charges and severance and other personnel costs. We continue to expect Reality Labs operating losses to increase year-over-year in 2023.
We expect capital expenditures to be in the range of $30 billion to $33 billion, unchanged from our prior estimate. This outlook reflects our ongoing build-out of AI capacity to support ads, Feed and Reels, along with an increased investment in capacity for our generative AI initiatives.
Absent any changes to U.S. tax law, we expect our full year 2023 tax rate percentage to be around 20%.</t>
  </si>
  <si>
    <t>We anticipate our full year 2023 total expenses will be in the range of $86 million to $90 billion, updated from our prior outlook provided in March. This outlook includes $3 billion to $5 billion of restructuring costs related to facilities consolidation charges and severance and other personnel costs. We continue to expect Reality Labs operating losses to increase year-over-year in 2023.
We expect capital expenditures to be in the range of $30 billion to $33 billion, unchanged from our prior estimate. This outlook reflects our ongoing build-out of AI capacity to support ads, Feed and Reels, along with an increased investment in capacity for our generative AI initiatives.
Absent any changes to U.S. tax law, we expect our full year 2023 tax rate percentage to be around 20%.</t>
  </si>
  <si>
    <t>We expect third quarter 2023 total revenue to be in the range of $32 billion to $34.5 billion. Our guidance assumes a foreign currency tailwind of approximately 3% to year-over-year total revenue growth in the third quarter based on current exchange rates.</t>
  </si>
  <si>
    <t>We anticipate that our full year 2023 total expenses will be in the range of $88 billion to $91 billion, increased from our prior range of $86 billion to $90 billion due to legal-related expenses recorded in Q2. This outlook includes approximately $4 billion of restructuring costs related to facilities consolidation charges and severance and other personnel costs. We expect Reality Labs operating losses to increase year-over-year in 2023.
While we are not providing a quantitative outlook beyond 2023 at this point, we expect a few factors to be drivers of total expense growth in 2024 as we continue to invest in our most compelling opportunities, including AI and the metaverse. First, we expect higher infrastructure-related costs next year. Given our increased capital investments in recent years, we expect depreciation expenses in 2024 to increase by a larger amount than in 2023. We also expect to incur higher operating costs from running a larger infrastructure footprint.
Second, we anticipate growth in payroll expenses as we evolve our workforce composition toward higher-cost technical roles. Finally, for Reality Labs, we expect operating losses to increase meaningfully year-over-year due to our ongoing product development efforts in AR, VR and our investments to further scale our ecosystem.
We expect capital expenditures to be in the range of $27 billion to $30 billion, lowered from our prior estimate of $30 billion to $33 billion. The reduced forecast is due to both cost savings, particularly on non-AI servers, as well as shifts in CapEx into 2024 from delays in projects and equipment deliveries rather than a reduction in overall investment plans. Looking ahead, while we continue to refine our plans as we progress throughout the year, we currently expect total capital expenditures to grow in 2024, driven by our investments across both data centers and servers, particularly in support of our AI work.
Absent any changes to U.S. tax law, we expect the tax rate for the rest of the year to be similar to Q2 2023.</t>
  </si>
  <si>
    <t xml:space="preserve">We expect fourth quarter 2023 total revenue to be in the range of $36.5-40 billion. Our guidance assumes a foreign currency tailwind of approximately 2% to year-over-year total revenue growth in the fourth quarter, based on current exchange rates.
</t>
  </si>
  <si>
    <t xml:space="preserve">We anticipate that our full-year 2023 total expenses will be in the range of $87-89 billion, lowered from our prior range of $88-91 billion. This outlook includes approximately $3.5 billion of restructuring costs related to facilities consolidation charges and severance and other personnel costs. We expect Reality Labs operating losses to increase year-over-year in 2023.
We expect 2023 capital expenditures to be in the range of $27-29 billion, updated from our prior estimate of $27-30 billion. 
Absent any changes to U.S. tax law, we expect our fourth quarter 2023 and full-year 2024 tax rates to be similar to the third quarter of 2023.
</t>
  </si>
  <si>
    <t>FY24</t>
  </si>
  <si>
    <t>We expect full-year 2024 total expenses to be in the range of $94-99 billion. We continue to expect a few factors to be drivers of total expense growth in 2024: • First, we expect higher infrastructure-related costs next year. Given our increased capital investments in recent years, we expect depreciation expenses in 2024 to increase by a larger amount than in 2023. We also expect to incur higher operating costs from running a larger infrastructure footprint. • Second, we anticipate growth in payroll expenses as we work down our current hiring underrun and add incremental talent to support priority areas in 2024, which we expect will continue to shift our workforce composition toward higher-cost technical roles. • Finally, for Reality Labs, we expect operating losses to increase meaningfully year-over-year due to our ongoing product development efforts in augmented reality/virtual reality and our investments to further scale our ecosystem.
We anticipate our full-year 2024 capital expenditures will be in the range of $30-35 billion, with growth driven by investments in servers, including both non-artificial intelligence (AI) and AI hardware, and data centers as we ramp up construction on sites with the new data center architecture we announced late last year.
Absent any changes to U.S. tax law, we expect our fourth quarter 2023 and full-year 2024 tax rates to be similar to the third quarter of 2023.</t>
  </si>
  <si>
    <t>We expect first quarter 2024 total revenue to be in the range of $34.5-37 billion. Our guidance assumes foreign currency is neutral to year-over-year total revenue growth, based on current exchange rates.</t>
  </si>
  <si>
    <t>We expect full-year 2024 total expenses to be in the range of $94-99 billion, unchanged from our prior outlook. We continue to expect a few factors to be drivers of total expense growth in 2024: • First, we expect higher infrastructure-related costs this year. Given our increased capital investments in recent years, we expect depreciation expenses in 2024 to increase by a larger amount than in 2023. We also expect to incur higher operating costs from running a larger infrastructure footprint. • Second, we anticipate growth in payroll expenses as we work down our current hiring underrun and add incremental talent to support priority areas in 2024, which we expect will further shift our workforce composition toward higher-cost technical roles. • Finally, for Reality Labs, we expect operating losses to increase meaningfully year-over-year due to our ongoing product development efforts in augmented reality/virtual reality and our investments to further scale our ecosystem.
We anticipate our full-year 2024 capital expenditures will be in the range of $30-37 billion, a $2 billion increase of the high end of our prior range. We expect growth will be driven by investments in servers, including both AI and non-AI hardware, and data centers as we ramp up construction on sites with our previously announced new data center architecture. Our updated outlook reflects our evolving understanding of our artificial intelligence (AI) capacity demands as we anticipate what we may need for the next generations of foundational research and product development. While we are not providing guidance for years beyond 2024, we expect our ambitious long-term AI research and product development efforts will require growing infrastructure investments beyond this year.</t>
  </si>
  <si>
    <t>2Q24</t>
  </si>
  <si>
    <t>We expect second quarter 2024 total revenue to be in the range of $36.5-39 billion. Our guidance assumes foreign currency is a 1% headwind to year-over-year total revenue growth, based on current exchange rates.</t>
  </si>
  <si>
    <t>We expect full-year 2024 total expenses to be in the range of $96-99 billion, updated from our prior outlook of $94-99 billion due to higher infrastructure and legal costs. For Reality Labs, we continue to expect operating losses to increase meaningfully year-over-year due to our ongoing product development efforts and our investments to further scale our ecosystem.
We anticipate our full-year 2024 capital expenditures will be in the range of $35-40 billion, increased from our prior range of $30-37 billion as we continue to accelerate our infrastructure investments to support our artificial intelligence (AI) roadmap. While we are not providing guidance for years beyond 2024, we expect capital expenditures will continue to increase next year as we invest aggressively to support our ambitious AI research and product development efforts.
Absent any changes to our tax landscape, we expect our full-year 2024 tax rate to be in the mid-teens.</t>
  </si>
  <si>
    <t>Simple Model Revenue Forecast - Case Summary</t>
  </si>
  <si>
    <t>PP&amp;E, Capex, D&amp;A</t>
  </si>
  <si>
    <t>3Q24</t>
  </si>
  <si>
    <t>4Q24</t>
  </si>
  <si>
    <t>Barclays Estimates</t>
  </si>
  <si>
    <t>Consensus Estimates</t>
  </si>
  <si>
    <t>Servers and Network Assets PP&amp;E</t>
  </si>
  <si>
    <t>Other PP&amp;E</t>
  </si>
  <si>
    <t>Servers and Network Assets Capex</t>
  </si>
  <si>
    <t>Other Capex</t>
  </si>
  <si>
    <t>Total Purchase of PP&amp;E</t>
  </si>
  <si>
    <t>Total Depreciation of PP&amp;E</t>
  </si>
  <si>
    <t>Servers and Network Assets Depreciation</t>
  </si>
  <si>
    <t>Other Depreciation</t>
  </si>
  <si>
    <t>Implied Useful Life (Gross PP&amp;E / Depreciation)</t>
  </si>
  <si>
    <t>Other Assets</t>
  </si>
  <si>
    <t>Total Assets</t>
  </si>
  <si>
    <r>
      <rPr>
        <i/>
        <u/>
        <sz val="8"/>
        <color theme="1"/>
        <rFont val="Arial"/>
        <family val="2"/>
      </rPr>
      <t>Memo:</t>
    </r>
    <r>
      <rPr>
        <i/>
        <sz val="8"/>
        <color theme="1"/>
        <rFont val="Arial"/>
        <family val="2"/>
      </rPr>
      <t xml:space="preserve"> Total D&amp;A</t>
    </r>
  </si>
  <si>
    <r>
      <rPr>
        <i/>
        <u/>
        <sz val="8"/>
        <color theme="1"/>
        <rFont val="Arial"/>
        <family val="2"/>
      </rPr>
      <t>Memo:</t>
    </r>
    <r>
      <rPr>
        <i/>
        <sz val="8"/>
        <color theme="1"/>
        <rFont val="Arial"/>
        <family val="2"/>
      </rPr>
      <t xml:space="preserve"> Total Capex</t>
    </r>
  </si>
  <si>
    <t>Purchases of Property, Plant and Equipment, net</t>
  </si>
  <si>
    <t>FY25</t>
  </si>
  <si>
    <t>FY26</t>
  </si>
  <si>
    <t>Change in Servers and Network Assets PP&amp;E</t>
  </si>
  <si>
    <t>Change in Other PP&amp;E</t>
  </si>
  <si>
    <t>CRC Estimates</t>
  </si>
  <si>
    <t>Implied Useful Life (Net PP&amp;E / Depreciation)</t>
  </si>
  <si>
    <t>S&amp;N Assets as % of Gross PP&amp;E</t>
  </si>
  <si>
    <t>CRC Cost of Revenue</t>
  </si>
  <si>
    <t>CRC Gross Profit</t>
  </si>
  <si>
    <t>CRC R&amp;D</t>
  </si>
  <si>
    <t>CRC S&amp;M</t>
  </si>
  <si>
    <t>CRC G&amp;A</t>
  </si>
  <si>
    <t>Total CRC Expenses</t>
  </si>
  <si>
    <t>CRC EBT</t>
  </si>
  <si>
    <t>CRC Interest and Other, net</t>
  </si>
  <si>
    <t>CRC Taxes</t>
  </si>
  <si>
    <t>CRC Taxes @ 20%</t>
  </si>
  <si>
    <t>Implied Cash Costs</t>
  </si>
  <si>
    <t>Implied CRC Cash Costs</t>
  </si>
  <si>
    <t>CRC D&amp;A</t>
  </si>
  <si>
    <r>
      <rPr>
        <i/>
        <u/>
        <sz val="8"/>
        <color theme="1"/>
        <rFont val="Arial"/>
        <family val="2"/>
      </rPr>
      <t>Memo:</t>
    </r>
    <r>
      <rPr>
        <i/>
        <sz val="8"/>
        <color theme="1"/>
        <rFont val="Arial"/>
        <family val="2"/>
      </rPr>
      <t xml:space="preserve"> Depreciable Assets</t>
    </r>
  </si>
  <si>
    <t>Reported Useful Life (Years)</t>
  </si>
  <si>
    <t>Implied Useful Life (Years)</t>
  </si>
  <si>
    <t>Gross PP&amp;E / D&amp;A</t>
  </si>
  <si>
    <t>Depreciable Assets / D&amp;A</t>
  </si>
  <si>
    <t>Net PP&amp;E / D&amp;A</t>
  </si>
  <si>
    <t>Depreciable Assets, EOP</t>
  </si>
  <si>
    <t>Construction in Progress, EOP</t>
  </si>
  <si>
    <t>CIP as % of Gross PP&amp;E</t>
  </si>
  <si>
    <t>Implied Useful Life (Depreciable Assets / Depreciation)</t>
  </si>
  <si>
    <t>Change in Construction in Progress</t>
  </si>
  <si>
    <t>% of Purchase of PP&amp;E</t>
  </si>
  <si>
    <t>CIP Assets as % of Gross PP&amp;E</t>
  </si>
  <si>
    <t>Depreciable Assets</t>
  </si>
  <si>
    <t>Useful Life</t>
  </si>
  <si>
    <t>FY26 NI % Impact (vs. CRC Est.) - Sensitivity to CIP % and Depreciable Assets Useful Life</t>
  </si>
  <si>
    <t>FY26 D&amp;A $ Impact (vs. CRC Est.) - Sensitivity to CIP % and Depreciable Assets Useful Life</t>
  </si>
  <si>
    <t>Temu / Chinese Advertiser Impact</t>
  </si>
  <si>
    <t>APAC Revenue (by Adv Geo)</t>
  </si>
  <si>
    <t>Less: APAC Revenue (by User Geo)</t>
  </si>
  <si>
    <t>Chinese Advertiser Revenue - Estimated</t>
  </si>
  <si>
    <t>% of Total Revenue</t>
  </si>
  <si>
    <t>Chinese Advertiser Revenue - Reported/Estimated</t>
  </si>
  <si>
    <t>PDD Non-GAAP S&amp;M (RMB)</t>
  </si>
  <si>
    <t>USDCNY</t>
  </si>
  <si>
    <t>RMBUSD</t>
  </si>
  <si>
    <t>PDD Non-GAAP S&amp;M (USD)</t>
  </si>
  <si>
    <t>Chinese Advertiser Revenue</t>
  </si>
  <si>
    <t>Less: Temu Ad Spend @ 75%</t>
  </si>
  <si>
    <t>Other Chinese Advertiser Revenue</t>
  </si>
  <si>
    <t>% of Total Chinese Advertiser Revenue</t>
  </si>
  <si>
    <t>Less: Chinese Advertiser Revenue</t>
  </si>
  <si>
    <t>Non-Chinese Advertiser Revenue</t>
  </si>
  <si>
    <t>Non-Chinese Advertiser and Other Revenue</t>
  </si>
  <si>
    <t>Temu Ad Spend (RMB) - per CRC</t>
  </si>
  <si>
    <t>Temu Ad Spend - per CRC</t>
  </si>
  <si>
    <t>Finance Lease ROU Assets, BOP</t>
  </si>
  <si>
    <t>Finance Lease ROU Assets, EOP</t>
  </si>
  <si>
    <t>New Finance Leases</t>
  </si>
  <si>
    <t>Finance Lease Repayment</t>
  </si>
  <si>
    <t>Finance Lease Build</t>
  </si>
  <si>
    <t>Net Growth</t>
  </si>
  <si>
    <t>% of Capex</t>
  </si>
  <si>
    <t>3Q25e</t>
  </si>
  <si>
    <t>4Q25e</t>
  </si>
  <si>
    <t>1Q25e</t>
  </si>
  <si>
    <t>2Q25e</t>
  </si>
  <si>
    <t>FQ12025</t>
  </si>
  <si>
    <t>FQ22025</t>
  </si>
  <si>
    <t>FQ32025</t>
  </si>
  <si>
    <t>FQ42025</t>
  </si>
  <si>
    <t>FY2025</t>
  </si>
  <si>
    <t>We expect third quarter 2024 total revenue to be in the range of $38.5-41 billion. Our guidance assumes foreign currency is a 2% headwind to year-over-year total revenue growth, based on current exchange rates.</t>
  </si>
  <si>
    <t>We expect full-year 2024 total expenses to be in the range of $96-99 billion, unchanged from our prior outlook. For Reality Labs, we continue to expect 2024 operating losses to increase meaningfully year-over-year due to our ongoing product development efforts and investments to further scale our ecosystem. While we do not intend to provide any quantitative guidance for 2025 until the fourth quarter call, we expect infrastructure costs will be a significant driver of expense growth next year as we recognize depreciation and operating costs associated with our expanded infrastructure footprint.
We anticipate our full-year 2024 capital expenditures will be in the range of $37-40 billion, updated from our prior range of $35-40 billion. While we continue to refine our plans for next year, we currently expect significant capital expenditures growth in 2025 as we invest to support our artificial intelligence research and product development efforts.
Absent any changes to our tax landscape, we expect our full-year 2024 tax rate to be in the mid-teens.</t>
  </si>
  <si>
    <t>We expect fourth quarter 2024 total revenue to be in the range of $45-48 billion. Our guidance assumes foreign currency is approximately neutral to year-over-year total revenue growth, based on current exchange rates.</t>
  </si>
  <si>
    <t>We expect full-year 2024 total expenses to be in the range of $96-98 billion, updated from our prior range of $96-99 billion. For Reality Labs, we continue to expect 2024 operating losses to increase meaningfully year-over-year due to our ongoing product development efforts and investments to further scale our ecosystem.
We anticipate our full-year 2024 capital expenditures will be in the range of $38-40 billion, updated from our prior range of $37-40 billion. We continue to expect significant capital expenditures growth in 2025. Given this, along with the back-end weighted nature of our 2024 capital expenditures, we expect a significant acceleration in infrastructure expense growth next year as we recognize higher growth in depreciation and operating expenses of our expanded infrastructure fleet.
Absent any changes to our tax landscape, we expect our fourth quarter 2024 tax rate to be in the low-teens.</t>
  </si>
  <si>
    <t>Total Advertising ARPU</t>
  </si>
  <si>
    <t>Family ARPU (based on MAU)</t>
  </si>
  <si>
    <t>Family ARPU (based on DAU)</t>
  </si>
  <si>
    <t>Y/Y % Change, Organic, cFX</t>
  </si>
  <si>
    <t>U1RTQUxFUFJJQ0UuMS84LzIwMjUBAAAAAu1aAAIAAAALMS4yMzQ5Nzk1NjEA8ygod++W3QiNemdE8JbdCCVDSVEuJFVTREVVUi5JUV9MQVNUU0FMRVBSSUNFLjEvOC8yMDI1AQAAAALtWgACAAAACjEuMDMwNjA5MDkADDw0eO+W3QiNemdE8JbdCCVDSVEuJFVTREpQWS5JUV9MQVNUU0FMRVBSSUNFLjEvOC8yMDI1AQAAAALtWgACAAAACzAuMDA2MzE0NDA3AAw8NHjvlt0IjXpnRPCW3QglQ0lRLiRVU0RBVUQuSVFfTEFTVFNBTEVQUklDRS4xLzgvMjAyNQEAAAAC7VoAAgAAAAswLjYyMDkwNTkwMgAMPDR475bdCI16Z0Twlt0IJUNJUS4kVVNEQlJMLklRX0xBU1RTQUxFUFJJQ0UuMS84LzIwMjUBAAAAAu1aAAIAAAALMC4xNjMwNjI5NzUADDw0eO+W3QiNemdE8JbdCCVDSVEuJFVTRElOUi5JUV9MQVNUU0FMRVBSSUNFLjEvOC8yMDI1AQAAAALtWgACAAAACzAuMDExNjQxMjk0AAw8NHjvlt0IjXpnRPCW3QgyQ0lRQVZHLiRVU0RCUkwuSVFfTEFTVFNBTEVQUklDRS4xLzEvMjAyNS4zLzMxLzIwMjUBAAAAAu1aAAIAAAARMC4xNzA5MzM3MTgxNjY2NjcASRz1CvOW3Qj38X0L85bdCDJDSVFBVkcuJFVTREdCUC5JUV9MQVNUU0FMRVBSSUNFLjEvMS8yMDI1LjMvMzEvMjAyNQEAAAAC7VoAAgAAABAxLjI1OTU1NjI5OTk2NjY3AFv19Arzlt0IAst9C/OW3QgyQ0lRQVZHLiRVU0RFVVIuSVFfTEFTVFNBTEVQUklD</t>
  </si>
  <si>
    <t>RS4xLzEvMjAyNS4zLzMxLzIwMjUBAAAAAu1aAAIAAAAQMS4wNTI1MzQ4MTA5MTExMQBb9fQK85bdCALLfQvzlt0IMkNJUUFWRy4kVVNEQVVELklRX0xBU1RTQUxFUFJJQ0UuMS8xLzIwMjUuMy8zMS8yMDI1AQAAAALtWgACAAAAETAuNjI3NDAzODk3MjMzMzMzAEkc9Qrzlt0IAst9C/OW3QgyQ0lRQVZHLiRVU0RKUFkuSVFfTEFTVFNBTEVQUklDRS4xLzEvMjAyNS4zLzMxLzIwMjUBAAAAAu1aAAIAAAATMC4wMDY1NjQwNDgyMjIyMjIyMgBb9fQK85bdCALLfQvzlt0IMkNJUUFWRy4kVVNESU5SLklRX0xBU1RTQUxFUFJJQ0UuMS8xLzIwMjUuMy8zMS8yMDI1AQAAAALtWgACAAAAEjAuMDExNTUxNjQ1ODU1NTU1NgBJHPUK85bdCALLfQvzlt0IKkNJUUFWRy4kVVNESlBZLklRX0xBU1RTQUxFUFJJQ0UuLjMvMzEvMjAyNQUAAAAAAAAACAAAABIoSW52YWxpZCBFbmQgRGF0ZSl1dp038JbdCCNocgvzlt0IKkNJUUFWRy4kVVNESU5SLklRX0xBU1RTQUxFUFJJQ0UuLjMvMzEvMjAyNQUAAAAAAAAACAAAABIoSW52YWxpZCBFbmQgRGF0ZSl1dp038JbdCMrubwvzlt0IKkNJUUFWRy4kVVNEQlJMLklRX0xBU1RTQUxFUFJJQ0UuLjMvMzEvMjAyNQUAAAAAAAAACAAAABIoSW52YWxpZCBFbmQgRGF0ZSl1dp038JbdCHaKbgvzlt0IKkNJUUFWRy4kVVNER0JQLklRX0xBU1RTQUxFUFJJQ0UuLjMvMzEvMjAyNQUAAAAA</t>
  </si>
  <si>
    <t>AAAACAAAABIoSW52YWxpZCBFbmQgRGF0ZSl1dp038JbdCIPXdAvzlt0IKkNJUUFWRy4kVVNERVVSLklRX0xBU1RTQUxFUFJJQ0UuLjMvMzEvMjAyNQUAAAAAAAAACAAAABIoSW52YWxpZCBFbmQgRGF0ZSl1dp038JbdCP95cwvzlt0IKkNJUUFWRy4kVVNEQVVELklRX0xBU1RTQUxFUFJJQ0UuLjMvMzEvMjAyNQUAAAAAAAAACAAAABIoSW52YWxpZCBFbmQgRGF0ZSl1dp038JbdCG3+cAvzlt0IJUNJUS4kVVNER0JQLklRX0xBU1RTQUxFUFJJQ0UuMS83LzIwMjUBAAAAAu1aAAIAAAALMS4yNDg5NTQwMDEAsvDAV/CW3QheU9Br8JbdCCVDSVEuJFVTREFVRC5JUV9MQVNUU0FMRVBSSUNFLjEvNy8yMDI1AQAAAALtWgACAAAACzAuNjI0MjU4NjkzALLwwFfwlt0INTPeZ/CW3QglQ0lRLiRVU0RKUFkuSVFfTEFTVFNBTEVQUklDRS4xLzcvMjAyNQEAAAAC7VoAAgAAAAswLjAwNjMyODc5MwCy8MBX8JbdCDUz3mfwlt0IJUNJUS4kVVNEQlJMLklRX0xBU1RTQUxFUFJJQ0UuMS83LzIwMjUBAAAAAu1aAAIAAAALMC4xNjQ2ODIyNDYAsvDAV/CW3Qg1M95n8JbdCCVDSVEuJFVTRElOUi5JUV9MQVNUU0FMRVBSSUNFLjEvNy8yMDI1AQAAAALtWgACAAAACzAuMDExNjU3NzgzALLwwFfwlt0Ih1reZ/CW3QglQ0lRLiRVU0RFVVIuSVFfTEFTVFNBTEVQUklDRS4xLzcvMjAyNQEAAAAC7VoAAgAAAAsxLjAzNjU5MTY4NwCy</t>
  </si>
  <si>
    <t>8MBX8JbdCDUz3mfwlt0IJ0NJUS4kVVNER0JQLklRX0xBU1RTQUxFUFJJQ0UuMTIvMjAvMjAyNAEAAAAC7VoAAgAAAAsxLjI1NzI0NDg3NACrBHVA85bdCBjO80Xzlt0IJ0NJUS4kVVNEQVVELklRX0xBU1RTQUxFUFJJQ0UuMTIvMjAvMjAyNAEAAAAC7VoAAgAAAAowLjYyNTM1MTc2AGR65kDzlt0IEPXzRfOW3QgnQ0lRLiRVU0RCUkwuSVFfTEFTVFNBTEVQUklDRS4xMi8yMC8yMDI0AQAAAALtWgACAAAACzAuMTY0MzE2OTM1AGR65kDzlt0IEPXzRfOW3QgnQ0lRLiRVU0RKUFkuSVFfTEFTVFNBTEVQUklDRS4xMi8yMC8yMDI0AQAAAALtWgACAAAACzAuMDA2Mzk2MTUyAGR65kDzlt0IEPXzRfOW3QgnQ0lRLiRVU0RJTlIuSVFfTEFTVFNBTEVQUklDRS4xMi8yMC8yMDI0AQAAAALtWgACAAAACzAuMDExNzY5NzMyAGR65kDzlt0IGM7zRfOW3QgnQ0lRLiRVU0RFVVIuSVFfTEFTVFNBTEVQUklDRS4xMi8yMC8yMDI0AQAAAALtWgACAAAACzEuMDQxNjY2NjY3AGR65kDzlt0IGM7zRfOW3QgnQ0lRLiRVU0RHQlAuSVFfTEFTVFNBTEVQUklDRS4xMi8xOS8yMDI0AQAAAALtWgACAAAACzEuMjU2MDEzMTYzABLSGYPzlt0IsaEgg/OW3QgnQ0lRLiRVU0RCUkwuSVFfTEFTVFNBTEVQUklDRS4xMi8xOS8yMDI0AQAAAALtWgACAAAACzAuMTYyNzc2MzEzABLSGYPzlt0IsaEgg/OW3QgnQ0lRLiRVU0RFVVIuSVFfTEFT</t>
  </si>
  <si>
    <t>VFNBTEVQUklDRS4xMi8xOS8yMDI0AQAAAALtWgACAAAACjEuMDM4MjA1OTgAEtIZg/OW3Qi3eiCD85bdCCdDSVEuJFVTRElOUi5JUV9MQVNUU0FMRVBSSUNFLjEyLzE5LzIwMjQBAAAAAu1aAAIAAAALMC4wMTE3NDkyNTIAEtIZg/OW3Qi3eiCD85bdCCdDSVEuJFVTREpQWS5JUV9MQVNUU0FMRVBSSUNFLjEyLzE5LzIwMjQBAAAAAu1aAAIAAAALMC4wMDYzNDE4MzgAEtIZg/OW3QjCUyCD85bdCCdDSVEuJFVTREFVRC5JUV9MQVNUU0FMRVBSSUNFLjEyLzE5LzIwMjQBAAAAAu1aAAIAAAALMC42MjU5NzgwOTEAEtIZg/OW3QjCUyCD85bdCCdDSVEuJFVTRElOUi5JUV9MQVNUU0FMRVBSSUNFLjEyLzIxLzIwMjQBAAAAAu1aAAIAAAALMC4wMTE3Njk3MzIAVBWYpvOW3QiZhMym85bdCCdDSVEuJFVTREdCUC5JUV9MQVNUU0FMRVBSSUNFLjEyLzIxLzIwMjQBAAAAAu1aAAIAAAALMS4yNTcyNDQ4NzQAVBWYpvOW3QiZhMym85bdCCdDSVEuJFVTREVVUi5JUV9MQVNUU0FMRVBSSUNFLjEyLzIxLzIwMjQBAAAAAu1aAAIAAAALMS4wNDE2NjY2NjcAVBWYpvOW3QiZhMym85bdCCdDSVEuJFVTREFVRC5JUV9MQVNUU0FMRVBSSUNFLjEyLzIxLzIwMjQBAAAAAu1aAAIAAAAKMC42MjUzNTE3NgBUFZim85bdCIKrzKbzlt0IJ0NJUS4kVVNEQlJMLklRX0xBU1RTQUxFUFJJQ0UuMTIvMjEvMjAyNAEAAAAC7VoAAgAAAAsw</t>
  </si>
  <si>
    <t>LjE2NDMxNjkzNQBUFZim85bdCJmEzKbzlt0IJ0NJUS4kVVNESlBZLklRX0xBU1RTQUxFUFJJQ0UuMTIvMjEvMjAyNAEAAAAC7VoAAgAAAAswLjAwNjM5NjE1MgBUFZim85bdCJmEzKbzlt0I</t>
  </si>
  <si>
    <t>BAABTAhSRVBPUlRFRAFI/////wFQowMAABxDSVEuJFVTREdCUC5JUV9MQVNUU0FMRVBSSUNFAQAAAALtWgACAAAACzEuMzM2NTA1MzA2ANRkYlzvlt0IVWbbXO+W3QgcQ0lRLiRVU0RFVVIuSVFfTEFTVFNBTEVQUklDRQEAAAAC7VoAAgAAAAsxLjEyNTg3MjU1MQDUZGJc75bdCFVm21zvlt0IHENJUS4kVVNESlBZLklRX0xBU1RTQUxFUFJJQ0UBAAAAAu1aAAIAAAALMC4wMDY5MDM5MzIA1GRiXO+W3QhVZttc75bdCBxDSVEuJFVTREFVRC5JUV9MQVNUU0FMRVBSSUNFAQAAAALtWgACAAAACzAuNjQ2MzI4ODUyANRkYlzvlt0IYo7bXO+W3QgcQ0lRLiRVU0RJTlIuSVFfTEFTVFNBTEVQUklDRQEAAAAC7VoAAgAAAAswLjAxMTcwNzQ2MwDUZGJc75bdCGKO21zvlt0IHENJUS4kVVNEQlJMLklRX0xBU1RTQUxFUFJJQ0UBAAAAAu1aAAIAAAALMC4xNzczNDI2OTcA1GRiXO+W3Qhijttc75bdCBxDSVEuJFVTRENOWS5JUV9MQVNUU0FMRVBSSUNFAQAAAALtWgACAAAACzAuMTM4NjI1MTE2ADa2a5T1lt0IpTTclPWW3QgeQ0lRLk1FVEEuSVFfUkVWRU5VRV9FU1QuRlkyMDI0AQAAABfbPAECAAAADDE2Mjk5MS45MTE1OQEOAAAABQAAAAEzAQAAAAEwAgAAAAoxMDAxNTM1NjIxAwAAAAYxMDAxODAEAAAAATIGAAAAATAHAAAAAzE2MAgAAAABMAkAAAABMQoAAAABMAsAAAALMTQxMDY5OTcyODcMAAAAATENAAAACTUv</t>
  </si>
  <si>
    <t>MjAvMjAyNRAAAAAKMTIvMzEvMjAyNDa2a5T1lt0IOGHklPWW3QgeQ0lRLk1FVEEuSVFfUkVWRU5VRV9FU1QuRlkyMDI1AQAAABfbPAECAAAADDE4NzAyOC4zNjI3NAEOAAAABQAAAAEzAQAAAAEwAgAAAAoxMDAxNTM1NjI2AwAAAAYxMDAxODAEAAAAATIGAAAAATAHAAAAAzE2MAgAAAABMAkAAAABMQoAAAABMAsAAAALMTQzMjY5MTI0NDAMAAAAATENAAAACTUvMjAvMjAyNRAAAAAJNS8xOS8yMDI1NrZrlPWW3Qg4YeSU9ZbdCBtDSVEuTUVUQS5JUV9FQklUX0VTVC5GWTIwMjQBAAAAF9s8AQIAAAAKNjU4NDcuMDUzOAEOAAAABQAAAAEzAQAAAAEwAgAAAAoxMDAxNTM1NjIxAwAAAAYxMDAyMTUEAAAAATIGAAAAATAHAAAAAzE2MAgAAAABMAkAAAABMQoAAAABMAsAAAALMTQxMDM4MTI4OTAMAAAAATENAAAACTUvMjAvMjAyNRAAAAAKMTIvMzEvMjAyNDa2a5T1lt0IOGHklPWW3QgbQ0lRLk1FVEEuSVFfRUJJVF9FU1QuRlkyMDI1AQAAABfbPAECAAAACzczMzY2LjQ0Mjg0AQ4AAAAFAAAAATMBAAAAATACAAAACjEwMDE1MzU2MjYDAAAABjEwMDIxNQQAAAABMgYAAAABMAcAAAADMTYwCAAAAAEwCQAAAAExCgAAAAEwCwAAAAsxNDMyNjkxMjM0MgwAAAABMQ0AAAAJNS8yMC8yMDI1EAAAAAk1LzE5LzIwMjU2tmuU9ZbdCC6I5JT1lt0IGUNJUS5NRVRBLklRX0RBX0VTVC5GWTIwMjQBAAAAF9s8AQIAAAALMTQ5</t>
  </si>
  <si>
    <t>MjguNjg0NjIBDgAAAAUAAAABMwEAAAABMAIAAAAKMTAwMTUzNTYyMQMAAAAGMTE0MTg4BAAAAAEyBgAAAAEwBwAAAAMxNjAIAAAAATAJAAAAATEKAAAAATALAAAACzE0MTA3MDA5OTE1DAAAAAExDQAAAAk1LzIwLzIwMjUQAAAACjEyLzMxLzIwMjQ2tmuU9ZbdCDhh5JT1lt0IGUNJUS5NRVRBLklRX0RBX0VTVC5GWTIwMjUBAAAAF9s8AQIAAAALMTk0NzEuODU5NDcBDgAAAAUAAAABMwEAAAABMAIAAAAKMTAwMTUzNTYyNgMAAAAGMTE0MTg4BAAAAAEyBgAAAAEwBwAAAAMxNjAIAAAAATAJAAAAATEKAAAAATALAAAACzE0MzA3NjYwMDYwDAAAAAExDQAAAAk1LzIwLzIwMjUQAAAACTUvMTkvMjAyNTa2a5T1lt0IOGHklPWW3QgcQ0lRLk1FVEEuSVFfQ0FQRVhfRVNULkZZMjAyNAEAAAAX2zwBAgAAAAwtMzgzNzUuODA3NTMBDgAAAAUAAAABMwEAAAABMAIAAAAKMTAwMTUzNTYyMQMAAAAGMTA0MDkwBAAAAAEyBgAAAAEwBwAAAAMxNjAIAAAAATAJAAAAATEKAAAAATALAAAACzE0MTA3MDA5OTQ1DAAAAAExDQAAAAk1LzIwLzIwMjUQAAAACjEyLzMxLzIwMjQ2tmuU9ZbdCDhh5JT1lt0IHENJUS5NRVRBLklRX0NBUEVYX0VTVC5GWTIwMjUBAAAAF9s8AQIAAAAMLTY2OTEwLjA1ODQ3AQ4AAAAFAAAAATMBAAAAATACAAAACjEwMDE1MzU2MjYDAAAABjEwNDA5MAQAAAABMgYAAAABMAcAAAADMTYwCAAAAAEwCQAA</t>
  </si>
  <si>
    <t>AAExCgAAAAEwCwAAAAsxNDMxOTg3MjMwMQwAAAABMQ0AAAAJNS8yMC8yMDI1EAAAAAk1LzE5LzIwMjU2tmuU9ZbdCDhh5JT1lt0IJENJUS5NRVRBLklRX0VGRkVDVElWRV9UQVhfRVNULkZZMjAyNAEAAAAX2zwBAgAAAAgxMi43Mjg1NwEOAAAABQAAAAEzAQAAAAEwAgAAAAoxMDAxNTM1NjIxAwAAAAYxMTQxNjYEAAAAATIGAAAAATAHAAAAATAIAAAAATAJAAAAATEKAAAAATALAAAACzE0MDk5NDg4MDk1DAAAAAExDQAAAAk1LzIwLzIwMjUQAAAACjEyLzMxLzIwMjQ2tmuU9ZbdCFs65JT1lt0IJENJUS5NRVRBLklRX0VGRkVDVElWRV9UQVhfRVNULkZZMjAyNQEAAAAX2zwBAgAAAAcxMi44OTYzAQ4AAAAFAAAAATMBAAAAATACAAAACjEwMDE1MzU2MjYDAAAABjExNDE2NgQAAAABMgYAAAABMAcAAAABMAgAAAABMAkAAAABMQoAAAABMAsAAAALMTQyOTI1MTY0NjQMAAAAATENAAAACTUvMjAvMjAyNRAAAAAJNS8xOS8yMDI1NrZrlPWW3QhbOuSU9ZbdCCBDSVEuTUVUQS5JUV9DQVNIX09QRVJfRVNULkZZMjAyNAEAAAAX2zwBAgAAAAs4NzA0OC40OTIzMwEOAAAABQAAAAEzAQAAAAEwAgAAAAoxMDAxNTM1NjIxAwAAAAYxMDQwNzYEAAAAATIGAAAAATAHAAAAAzE2MAgAAAABMAkAAAABMQoAAAABMAsAAAALMTQxMDQ4NTk4MzkMAAAAATENAAAACTUvMjAvMjAyNRAAAAAKMTIvMzEvMjAyNDa2a5T1lt0IOGHk</t>
  </si>
  <si>
    <t>lPWW3QggQ0lRLk1FVEEuSVFfQ0FTSF9PUEVSX0VTVC5GWTIwMjUBAAAAF9s8AQIAAAALMTAxMTk5Ljk5MjUBDgAAAAUAAAABMwEAAAABMAIAAAAKMTAwMTUzNTYyNgMAAAAGMTA0MDc2BAAAAAEyBgAAAAEwBwAAAAMxNjAIAAAAATAJAAAAATEKAAAAATALAAAACzE0MzE5NzQ3MDY2DAAAAAExDQAAAAk1LzIwLzIwMjUQAAAACTUvMTkvMjAyNTa2a5T1lt0IOGHklPWW3QgfQ0lRLk1FVEEuSVFfTkVUX0RFQlRfRVNULkZZMjAyNAEAAAAX2zwBAgAAAAwtNDkxMDcuMTI3NTgBDgAAAAUAAAABMwEAAAABMAIAAAAKMTAwMTUzNTYyMQMAAAAGMTA0MDk3BAAAAAEyBgAAAAEwBwAAAAMxNjAIAAAAATAJAAAAATEKAAAAATALAAAACzE0MTAxNzI4MzI1DAAAAAExDQAAAAk1LzIwLzIwMjUQAAAACjEyLzMxLzIwMjQ2tmuU9ZbdCFs65JT1lt0IH0NJUS5NRVRBLklRX05FVF9ERUJUX0VTVC5GWTIwMjUBAAAAF9s8AQIAAAAMLTU3MDE1LjA5MDc4AQ4AAAAFAAAAATMBAAAAATACAAAACjEwMDE1MzU2MjYDAAAABjEwNDA5NwQAAAABMgYAAAABMAcAAAADMTYwCAAAAAEwCQAAAAExCgAAAAEwCwAAAAsxNDMwNzY2MDEzOAwAAAABMQ0AAAAJNS8yMC8yMDI1EAAAAAk1LzE5LzIwMjU2tmuU9ZbdCFs65JT1lt0IH0NJUS5NRVRBLklRX1JFVkVOVUVfRVNULkZRNDIwMjQBAAAAF9s8AQIAAAALNDY5OTMuNjI3MzkBDgAAAAUA</t>
  </si>
  <si>
    <t>AAABMwEAAAABMAIAAAAKMTAwMTUzNTYyMAMAAAAGMTAwMTgwBAAAAAEyBgAAAAEwBwAAAAMxNjAIAAAAATAJAAAAATEKAAAAATALAAAACzE0MTA4NzYzODA5DAAAAAEyDQAAAAk1LzIwLzIwMjUQAAAACjEyLzMxLzIwMjQ2tmuU9ZbdCG6e45T1lt0IH0NJUS5NRVRBLklRX1JFVkVOVUVfRVNULkZRMTIwMjUBAAAAF9s8AQIAAAALNDEzNjEuNDE1NTEBDgAAAAUAAAABMwEAAAABMAIAAAAKMTAwMTUzNTYyMgMAAAAGMTAwMTgwBAAAAAEyBgAAAAEwBwAAAAMxNjAIAAAAATAJAAAAATEKAAAAATALAAAACzE0MjcxNjI1NjkwDAAAAAEyDQAAAAk1LzIwLzIwMjUQAAAACTMvMzEvMjAyNTa2a5T1lt0Ij8XjlPWW3QgfQ0lRLk1FVEEuSVFfUkVWRU5VRV9FU1QuRlEyMjAyNQEAAAAX2zwBAgAAAAs0NDUxNS40MjAwNwEOAAAABQAAAAEzAQAAAAEwAgAAAAoxMDAxNTM1NjIzAwAAAAYxMDAxODAEAAAAATIGAAAAATAHAAAAAzE2MAgAAAABMAkAAAABMQoAAAABMAsAAAALMTQzMjY5MTI0MzQMAAAAATINAAAACTUvMjAvMjAyNRAAAAAJNS8xOS8yMDI1NrZrlPWW3QiPxeOU9ZbdCB9DSVEuTUVUQS5JUV9SRVZFTlVFX0VTVC5GUTMyMDI1AQAAABfbPAECAAAACzQ1NzAyLjg3NDI0AQ4AAAAFAAAAATMBAAAAATACAAAACjEwMDE1MzU2MjQDAAAABjEwMDE4MAQAAAABMgYAAAABMAcAAAADMTYwCAAAAAEwCQAAAAExCgAA</t>
  </si>
  <si>
    <t>AAEwCwAAAAsxNDMyNjkxMjQyOAwAAAABMg0AAAAJNS8yMC8yMDI1EAAAAAk1LzE5LzIwMjU2tmuU9ZbdCI/F45T1lt0IH0NJUS5NRVRBLklRX1JFVkVOVUVfRVNULkZRNDIwMjUBAAAAF9s8AQIAAAALNTQyNDcuODUzMDIBDgAAAAUAAAABMwEAAAABMAIAAAAKMTAwMTUzNTYyNQMAAAAGMTAwMTgwBAAAAAEyBgAAAAEwBwAAAAMxNjAIAAAAATAJAAAAATEKAAAAATALAAAACzE0MzI2OTEyNDAyDAAAAAEyDQAAAAk1LzIwLzIwMjUQAAAACTUvMTkvMjAyNTa2a5T1lt0Ibp7jlPWW3QgcQ0lRLk1FVEEuSVFfRUJJVF9FU1QuRlE0MjAyNAEAAAAX2zwBAgAAAAsxOTgzOS42NzA3OAEOAAAABQAAAAEzAQAAAAEwAgAAAAoxMDAxNTM1NjIwAwAAAAYxMDAyMTUEAAAAATIGAAAAATAHAAAAAzE2MAgAAAABMAkAAAABMQoAAAABMAsAAAALMTQxMDg3NjQ5ODMMAAAAATINAAAACTUvMjAvMjAyNRAAAAAKMTIvMzEvMjAyNDa2a5T1lt0Ibp7jlPWW3QgcQ0lRLk1FVEEuSVFfRUJJVF9FU1QuRlExMjAyNQEAAAAX2zwBAgAAAAkxNTMyMi45NTcBDgAAAAUAAAABMwEAAAABMAIAAAAKMTAwMTUzNTYyMgMAAAAGMTAwMjE1BAAAAAEyBgAAAAEwBwAAAAMxNjAIAAAAATAJAAAAATEKAAAAATALAAAACzE0MjUxMzAzOTMzDAAAAAEyDQAAAAk1LzIwLzIwMjUQAAAACTMvMzEvMjAyNTa2a5T1lt0Ibp7jlPWW3QgcQ0lRLk1FVEEu</t>
  </si>
  <si>
    <t>SVFfRUJJVF9FU1QuRlEyMjAyNQEAAAAX2zwBAgAAAAsxNjcyNy42MjcyNgEOAAAABQAAAAEzAQAAAAEwAgAAAAoxMDAxNTM1NjIzAwAAAAYxMDAyMTUEAAAAATIGAAAAATAHAAAAAzE2MAgAAAABMAkAAAABMQoAAAABMAsAAAALMTQzMjY5MTIzNTQMAAAAATINAAAACTUvMjAvMjAyNRAAAAAJNS8xOS8yMDI1NrZrlPWW3QhunuOU9ZbdCBxDSVEuTUVUQS5JUV9FQklUX0VTVC5GUTMyMDI1AQAAABfbPAECAAAACzE2OTI3Ljk5NDEyAQ4AAAAFAAAAATMBAAAAATACAAAACjEwMDE1MzU2MjQDAAAABjEwMDIxNQQAAAABMgYAAAABMAcAAAADMTYwCAAAAAEwCQAAAAExCgAAAAEwCwAAAAsxNDMyNjkxMjM5MAwAAAABMg0AAAAJNS8yMC8yMDI1EAAAAAk1LzE5LzIwMjU2tmuU9ZbdCG6e45T1lt0IHENJUS5NRVRBLklRX0VCSVRfRVNULkZRNDIwMjUBAAAAF9s8AQIAAAALMjE4NjYuNzkzMDYBDgAAAAUAAAABMwEAAAABMAIAAAAKMTAwMTUzNTYyNQMAAAAGMTAwMjE1BAAAAAEyBgAAAAEwBwAAAAMxNjAIAAAAATAJAAAAATEKAAAAATALAAAACzE0MzI2OTEyMzY2DAAAAAEyDQAAAAk1LzIwLzIwMjUQAAAACTUvMTkvMjAyNTa2a5T1lt0Ibp7jlPWW3QgyQ0lRQVZHLiRVU0RHQlAuSVFfTEFTVFNBTEVQUklDRS4xLzEvMjAxMC4zLzMxLzIwMTABAAAAAu1aAAIAAAAQMS41NTk0MjI2MjcyNzc3OAA2tmuU9ZbdCIx3</t>
  </si>
  <si>
    <t>45T1lt0IMkNJUUFWRy4kVVNER0JQLklRX0xBU1RTQUxFUFJJQ0UuNC8xLzIwMTAuNi8zMC8yMDEwAQAAAALtWgACAAAAEDEuNDkxMDYxNTgzMjE5NzgANrZrlPWW3QizPOyU9ZbdCDJDSVFBVkcuJFVTREdCUC5JUV9MQVNUU0FMRVBSSUNFLjcvMS8yMDEwLjkvMzAvMjAxMAEAAAAC7VoAAgAAABAxLjU1MDcyOTAwODM2OTU3ADa2a5T1lt0IkrHslPWW3Qg0Q0lRQVZHLiRVU0RHQlAuSVFfTEFTVFNBTEVQUklDRS4xMC8xLzIwMTAuMTIvMzEvMjAxMAEAAAAC7VoAAgAAABAxLjU4MDc1OTA0MTE5NTY1ADa2a5T1lt0INk3mlPWW3QgyQ0lRQVZHLiRVU0RHQlAuSVFfTEFTVFNBTEVQUklDRS4xLzEvMjAxMS4zLzMxLzIwMTEBAAAAAu1aAAIAAAAQMS42MDE1MjU4NjM5ODg4OQA2tmuU9ZbdCCnC5pT1lt0IMkNJUUFWRy4kVVNER0JQLklRX0xBU1RTQUxFUFJJQ0UuNC8xLzIwMTEuNi8zMC8yMDExAQAAAALtWgACAAAAEDEuNjMwOTYyNzI1MjA4NzkANrZrlPWW3QgHN+eU9ZbdCDJDSVFBVkcuJFVTREdCUC5JUV9MQVNUU0FMRVBSSUNFLjcvMS8yMDExLjkvMzAvMjAxMQEAAAAC7VoAAgAAABAxLjYxMTMwOTgyMDYxOTU3ADa2a5T1lt0I66vnlPWW3Qg0Q0lRQVZHLiRVU0RHQlAuSVFfTEFTVFNBTEVQUklDRS4xMC8xLzIwMTEuMTIvMzEvMjAxMQEAAAAC7VoAAgAAABAxLjU3MjY2Mjk4NzkzNDc4ADa2a5T1lt0I</t>
  </si>
  <si>
    <t>u0folPWW3QgyQ0lRQVZHLiRVU0RHQlAuSVFfTEFTVFNBTEVQUklDRS4xLzEvMjAxMi4zLzMxLzIwMTIBAAAAAu1aAAIAAAAQMS41NzA4Njk3MTg4MjQxOAA2tmuU9ZbdCJu86JT1lt0IMkNJUUFWRy4kVVNER0JQLklRX0xBU1RTQUxFUFJJQ0UuNC8xLzIwMTIuNi8zMC8yMDEyAQAAAALtWgACAAAAEDEuNTgyMjkzODE0NTYwNDQANrZrlPWW3Qh/MemU9ZbdCDJDSVFBVkcuJFVTREdCUC5JUV9MQVNUU0FMRVBSSUNFLjcvMS8yMDEyLjkvMzAvMjAxMgEAAAAC7VoAAgAAABAxLjU4MDMyNjgyNjM2OTU3ADa2a5T1lt0IXqbplPWW3Qg0Q0lRQVZHLiRVU0RHQlAuSVFfTEFTVFNBTEVQUklDRS4xMC8xLzIwMTIuMTIvMzEvMjAxMgEAAAAC7VoAAgAAABAxLjYwNTUwODM5MDMyNjA5ADa2a5T1lt0ISRvqlPWW3QgyQ0lRQVZHLiRVU0RHQlAuSVFfTEFTVFNBTEVQUklDRS4xLzEvMjAxMy4zLzMxLzIwMTMBAAAAAu1aAAIAAAAQMS41NTE5MTM0OTU5NDQ0NAA2tmuU9ZbdCB+36pT1lt0IMkNJUUFWRy4kVVNER0JQLklRX0xBU1RTQUxFUFJJQ0UuNC8xLzIwMTMuNi8zMC8yMDEzAQAAAALtWgACAAAADzEuNTM1NjE1NDU0Mjk2NwA2tmuU9ZbdCAoF65T1lt0IMkNJUUFWRy4kVVNER0JQLklRX0xBU1RTQUxFUFJJQ0UuNy8xLzIwMTMuOS8zMC8yMDEzAQAAAALtWgACAAAAEDEuNTUwOTM5MzM4MDg2OTYANrZrlPWW3Qj1</t>
  </si>
  <si>
    <t>UuuU9ZbdCDRDSVFBVkcuJFVTREdCUC5JUV9MQVNUU0FMRVBSSUNFLjEwLzEvMjAxMy4xMi8zMS8yMDEzAQAAAALtWgACAAAAEDEuNjE5MDU5MzkzMjM5MTMANrZrlPWW3QjeoOuU9ZbdCDJDSVFBVkcuJFVTREdCUC5JUV9MQVNUU0FMRVBSSUNFLjEvMS8yMDE0LjMvMzEvMjAxNAEAAAAC7VoAAgAAABAxLjY1NTM4MjQ1ODM4ODg5ADa2a5T1lt0I1MfrlPWW3QgyQ0lRQVZHLiRVU0RHQlAuSVFfTEFTVFNBTEVQUklDRS40LzEvMjAxNC42LzMwLzIwMTQBAAAAAu1aAAIAAAAQMS42ODMyNTIwMDc3MzYyNgA2tmuU9ZbdCKdj7JT1lt0IMkNJUUFWRy4kVVNER0JQLklRX0xBU1RTQUxFUFJJQ0UuNy8xLzIwMTQuOS8zMC8yMDE0AQAAAALtWgACAAAAEDEuNjY5MjExMzk0NzA2NTIANrZrlPWW3QiI2OyU9ZbdCDRDSVFBVkcuJFVTREdCUC5JUV9MQVNUU0FMRVBSSUNFLjEwLzEvMjAxNC4xMi8zMS8yMDE0AQAAAALtWgACAAAAEDEuNTgyMzAxNzg4NDc4MjYANrZrlPWW3QhBdOaU9ZbdCDJDSVFBVkcuJFVTREdCUC5JUV9MQVNUU0FMRVBSSUNFLjEvMS8yMDE1LjMvMzEvMjAxNQEAAAAC7VoAAgAAABAxLjUxNDMwNzg1Nzc4ODg5ADa2a5T1lt0IIenmlPWW3QgyQ0lRQVZHLiRVU0RHQlAuSVFfTEFTVFNBTEVQUklDRS40LzEvMjAxNS42LzMwLzIwMTUBAAAAAu1aAAIAAAAQMS41MzI4ODM2ODY0ODM1MgA2tmuU9Zbd</t>
  </si>
  <si>
    <t>CPxd55T1lt0IMkNJUUFWRy4kVVNER0JQLklRX0xBU1RTQUxFUFJJQ0UuNy8xLzIwMTUuOS8zMC8yMDE1AQAAAALtWgACAAAAEDEuNTQ4ODcwNTI5MzA0MzUANrZrlPWW3Qjf0ueU9ZbdCDRDSVFBVkcuJFVTREdCUC5JUV9MQVNUU0FMRVBSSUNFLjEwLzEvMjAxNS4xMi8zMS8yMDE1AQAAAALtWgACAAAAEDEuNTE3MzU4NTE0OTEzMDQANrZrlPWW3Qi7R+iU9ZbdCDJDSVFBVkcuJFVTREdCUC5JUV9MQVNUU0FMRVBSSUNFLjEvMS8yMDE2LjMvMzEvMjAxNgEAAAAC7VoAAgAAABAxLjQzMjA4NDI0MzMwNzY5ADa2a5T1lt0Im7zolPWW3QgyQ0lRQVZHLiRVU0RHQlAuSVFfTEFTVFNBTEVQUklDRS40LzEvMjAxNi42LzMwLzIwMTYBAAAAAu1aAAIAAAAQMS40MzQzNDg0ODgwNzY5MgA2tmuU9ZbdCH8x6ZT1lt0IMkNJUUFWRy4kVVNER0JQLklRX0xBU1RTQUxFUFJJQ0UuNy8xLzIwMTYuOS8zMC8yMDE2AQAAAALtWgACAAAAEDEuMzEzMTEzNjU2MDMyNjEANrZrlPWW3QhepumU9ZbdCDRDSVFBVkcuJFVTREdCUC5JUV9MQVNUU0FMRVBSSUNFLjEwLzEvMjAxNi4xMi8zMS8yMDE2AQAAAALtWgACAAAADzEuMjQyMjY0Nzc1MTQxMwA2tmuU9ZbdCD9C6pT1lt0IMkNJUUFWRy4kVVNER0JQLklRX0xBU1RTQUxFUFJJQ0UuMS8xLzIwMTcuMy8zMS8yMDE3AQAAAALtWgACAAAAEDEuMjM4NjU0MTg5MDQ0NDQANrZrlPWW</t>
  </si>
  <si>
    <t>3QgU3uqU9ZbdCDJDSVFBVkcuJFVTREdCUC5JUV9MQVNUU0FMRVBSSUNFLjQvMS8yMDE3LjYvMzAvMjAxNwEAAAAC7VoAAgAAABAxLjI3OTAwNTIzNzkyMzA4ADa2a5T1lt0ICgXrlPWW3QgyQ0lRQVZHLiRVU0RHQlAuSVFfTEFTVFNBTEVQUklDRS43LzEvMjAxNy45LzMwLzIwMTcBAAAAAu1aAAIAAAAQMS4zMDg2NjcxMTM3NzE3NAA2tmuU9ZbdCPVS65T1lt0INENJUUFWRy4kVVNER0JQLklRX0xBU1RTQUxFUFJJQ0UuMTAvMS8yMDE3LjEyLzMxLzIwMTcBAAAAAu1aAAIAAAAQMS4zMjczOTQwNzMwMTA4NwA2tmuU9ZbdCN6g65T1lt0IMkNJUUFWRy4kVVNER0JQLklRX0xBU1RTQUxFUFJJQ0UuMS8xLzIwMTguMy8zMS8yMDE4AQAAAALtWgACAAAAEDEuMzkxMzQ4MjQ2OTg4ODkANrZrlPWW3QjJ7uuU9ZbdCDJDSVFBVkcuJFVTREdCUC5JUV9MQVNUU0FMRVBSSUNFLjQvMS8yMDE4LjYvMzAvMjAxOAEAAAAC7VoAAgAAABAxLjM2MDc1NzIxNTM1MTY1ADa2a5T1lt0Ip2PslPWW3QgyQ0lRQVZHLiRVU0RHQlAuSVFfTEFTVFNBTEVQUklDRS43LzEvMjAxOC45LzMwLzIwMTgBAAAAAu1aAAIAAAAQMS4zMDI5MjY3MDA2NjMwNAA2tmuU9ZbdCIjY7JT1lt0INENJUUFWRy4kVVNER0JQLklRX0xBU1RTQUxFUFJJQ0UuMTAvMS8yMDE4LjEyLzMxLzIwMTgBAAAAAu1aAAIAAAAQMS4yODYzMDIzMDM3NzE3NAA2tmuU</t>
  </si>
  <si>
    <t>9ZbdCEF05pT1lt0IMkNJUUFWRy4kVVNER0JQLklRX0xBU1RTQUxFUFJJQ0UuMS8xLzIwMTkuMy8zMS8yMDE5AQAAAALtWgACAAAACzEuMzAyMDE4Mzk2ADa2a5T1lt0IIenmlPWW3QgyQ0lRQVZHLiRVU0RHQlAuSVFfTEFTVFNBTEVQUklDRS40LzEvMjAxOS42LzMwLzIwMTkBAAAAAu1aAAIAAAAQMS4yODUyNDkxMjg4NzkxMgA2tmuU9ZbdCPGE55T1lt0IMkNJUUFWRy4kVVNER0JQLklRX0xBU1RTQUxFUFJJQ0UuNy8xLzIwMTkuOS8zMC8yMDE5AQAAAALtWgACAAAAEDEuMjMyODkyNjg0ODY5NTcANrZrlPWW3QjQ+eeU9ZbdCDRDSVFBVkcuJFVTREdCUC5JUV9MQVNUU0FMRVBSSUNFLjEwLzEvMjAxOS4xMi8zMS8yMDE5AQAAAALtWgACAAAAEDEuMjg4MDUzNTQ2MTYzMDQANrZrlPWW3Qi1buiU9ZbdCDJDSVFBVkcuJFVTREdCUC5JUV9MQVNUU0FMRVBSSUNFLjEvMS8yMDIwLjMvMzEvMjAyMAEAAAAC7VoAAgAAAA8xLjI4MDYyNjkzMDgwMjIANrZrlPWW3QiY4+iU9ZbdCDJDSVFBVkcuJFVTREdCUC5JUV9MQVNUU0FMRVBSSUNFLjQvMS8yMDIwLjYvMzAvMjAyMAEAAAAC7VoAAgAAABAxLjI0MDk2NTgwMTA3NjkyADa2a5T1lt0Ic1jplPWW3QgyQ0lRQVZHLiRVU0RHQlAuSVFfTEFTVFNBTEVQUklDRS43LzEvMjAyMC45LzMwLzIwMjABAAAAAu1aAAIAAAAQMS4yOTE3MTM2NDY0MTMwNAA2tmuU9ZbdCFXN</t>
  </si>
  <si>
    <t>6ZT1lt0INENJUUFWRy4kVVNER0JQLklRX0xBU1RTQUxFUFJJQ0UuMTAvMS8yMDIwLjEyLzMxLzIwMjABAAAAAu1aAAIAAAAQMS4zMjEwNjU1OTQxMzA0MwA2tmuU9ZbdCDRp6pT1lt0IMkNJUUFWRy4kVVNER0JQLklRX0xBU1RTQUxFUFJJQ0UuMS8xLzIwMjEuMy8zMS8yMDIxAQAAAALtWgACAAAAEDEuMzc4NTYwMzY1NzQ0NDQANrZrlPWW3QgU3uqU9ZbdCDJDSVFBVkcuJFVTREdCUC5JUV9MQVNUU0FMRVBSSUNFLjQvMS8yMDIxLjYvMzAvMjAyMQEAAAAC7VoAAgAAABAxLjM5NzU5Nzc5MjA3NjkyADa2a5T1lt0IACzrlPWW3QgyQ0lRQVZHLiRVU0RHQlAuSVFfTEFTVFNBTEVQUklDRS43LzEvMjAyMS45LzMwLzIwMjEBAAAAAu1aAAIAAAAQMS4zNzgzMjA2ODYyMDY1MgA2tmuU9ZbdCOl565T1lt0INENJUUFWRy4kVVNER0JQLklRX0xBU1RTQUxFUFJJQ0UuMTAvMS8yMDIxLjEyLzMxLzIwMjEBAAAAAu1aAAIAAAAQMS4zNDgwNTM5NTY1MzI2MQA2tmuU9ZbdCNTH65T1lt0IMkNJUUFWRy4kVVNER0JQLklRX0xBU1RTQUxFUFJJQ0UuMS8xLzIwMjIuMy8zMS8yMDIyAQAAAALtWgACAAAAEDEuMzQxODMyNTA1OTU1NTYANrZrlPWW3Qi+FeyU9ZbdCDJDSVFBVkcuJFVTREdCUC5JUV9MQVNUU0FMRVBSSUNFLjQvMS8yMDIyLjYvMzAvMjAyMgEAAAAC7VoAAgAAABAxLjI1NjYzNjc5ODMwNzY5ADa2a5T1lt0I</t>
  </si>
  <si>
    <t>norslPWW3QgyQ0lRQVZHLiRVU0RHQlAuSVFfTEFTVFNBTEVQUklDRS43LzEvMjAyMi45LzMwLzIwMjIBAAAAAu1aAAIAAAAQMS4xNzc2MTQ2NjAxMzA0MwA2tmuU9ZbdCH3/7JT1lt0INENJUUFWRy4kVVNER0JQLklRX0xBU1RTQUxFUFJJQ0UuMTAvMS8yMDIyLjEyLzMxLzIwMjIBAAAAAu1aAAIAAAAQMS4xNzM4NDc3NTE4ODA0MwA2tmuU9ZbdCDWb5pT1lt0IMkNJUUFWRy4kVVNER0JQLklRX0xBU1RTQUxFUFJJQ0UuMS8xLzIwMjMuMy8zMS8yMDIzAQAAAALtWgACAAAAEDEuMjE0Mzc1OTIxNjg4ODkANrZrlPWW3QgWEOeU9ZbdCDJDSVFBVkcuJFVTREdCUC5JUV9MQVNUU0FMRVBSSUNFLjQvMS8yMDIzLjYvMzAvMjAyMwEAAAAC7VoAAgAAABAxLjI1MTczMTU1NzE0Mjg2ADa2a5T1lt0I8YTnlPWW3QgyQ0lRQVZHLiRVU0RHQlAuSVFfTEFTVFNBTEVQUklDRS43LzEvMjAyMy45LzMwLzIwMjMBAAAAAu1aAAIAAAAMMS4yNjYxNzU2ODA1ADa2a5T1lt0I0PnnlPWW3Qg0Q0lRQVZHLiRVU0RHQlAuSVFfTEFTVFNBTEVQUklDRS4xMC8xLzIwMjMuMTIvMzEvMjAyMwEAAAAC7VoAAgAAABAxLjI0MTkzNTUzMzUzMjYxADa2a5T1lt0ItW7olPWW3QgyQ0lRQVZHLiRVU0RHQlAuSVFfTEFTVFNBTEVQUklDRS4xLzEvMjAyNC4zLzMxLzIwMjQBAAAAAu1aAAIAAAAQMS4yNjgwNDkyNjk2MjYzNwA2tmuU9ZbdCIoK</t>
  </si>
  <si>
    <t>6ZT1lt0IMkNJUUFWRy4kVVNER0JQLklRX0xBU1RTQUxFUFJJQ0UuNC8xLzIwMjQuNi8zMC8yMDI0AQAAAALtWgACAAAAEDEuMjYxNTAxMDQ5ODEzMTkANrZrlPWW3Qhof+mU9ZbdCDJDSVFBVkcuJFVTREdCUC5JUV9MQVNUU0FMRVBSSUNFLjcvMS8yMDI0LjkvMzAvMjAyNAEAAAAC7VoAAgAAABAxLjMwMDkwMzQzOTUxMDg3ADa2a5T1lt0IVvTplPWW3Qg0Q0lRQVZHLiRVU0RHQlAuSVFfTEFTVFNBTEVQUklDRS4xMC8xLzIwMjQuMTIvMzEvMjAyNAEAAAAC7VoAAgAAABAxLjI4MTE2NjEwMjc5MzQ4ADa2a5T1lt0INGnqlPWW3QgzQ0lRQVZHLiRVU0RHQlAuSVFfTEFTVFNBTEVQUklDRS4xLzEvMjAxMS4xMi8zMS8yMDExAQAAAALtWgACAAAAEDEuNjA0MDU1OTgzOTQ1MjEANrZrlPWW3QiNhOKU9ZbdCDNDSVFBVkcuJFVTREdCUC5JUV9MQVNUU0FMRVBSSUNFLjEvMS8yMDEyLjEyLzMxLzIwMTIBAAAAAu1aAAIAAAAQMS41ODQ3OTQzMjA5NjcyMQA2tmuU9ZbdCL4V7JT1lt0IM0NJUUFWRy4kVVNER0JQLklRX0xBU1RTQUxFUFJJQ0UuMS8xLzIwMTMuMTIvMzEvMjAxMwEAAAAC7VoAAgAAABAxLjU2NDUyOTA1Mjc2MTY0ADa2a5T1lt0IkrHslPWW3QgzQ0lRQVZHLiRVU0RHQlAuSVFfTEFTVFNBTEVQUklDRS4xLzEvMjAxNC4xMi8zMS8yMDE0AQAAAALtWgACAAAAEDEuNjQ3Mzk2MDczNDU3NTMANrZrlPWW</t>
  </si>
  <si>
    <t>3Qh0Ju2U9ZbdCDNDSVFBVkcuJFVTREdCUC5JUV9MQVNUU0FMRVBSSUNFLjEvMS8yMDE1LjEyLzMxLzIwMTUBAAAAAu1aAAIAAAAPMS41Mjg0MTk3MTE2MTM3ADa2a5T1lt0IKcLmlPWW3QgzQ0lRQVZHLiRVU0RHQlAuSVFfTEFTVFNBTEVQUklDRS4xLzEvMjAxNi4xMi8zMS8yMDE2AQAAAALtWgACAAAAEDEuMzU1MDI3ODUzMDcxMDQANrZrlPWW3QgHN+eU9ZbdCDNDSVFBVkcuJFVTREdCUC5JUV9MQVNUU0FMRVBSSUNFLjEvMS8yMDE3LjEyLzMxLzIwMTcBAAAAAu1aAAIAAAAQMS4yODg3Mjg3MjAxMzQyNQA2tmuU9ZbdCOur55T1lt0IM0NJUUFWRy4kVVNER0JQLklRX0xBU1RTQUxFUFJJQ0UuMS8xLzIwMTguMTIvMzEvMjAxOAEAAAAC7VoAAgAAABAxLjMzNDk1NzAzMzUxNzgxADa2a5T1lt0IxiDolPWW3QgzQ0lRQVZHLiRVU0RHQlAuSVFfTEFTVFNBTEVQUklDRS4xLzEvMjAxOS4xMi8zMS8yMDE5AQAAAALtWgACAAAAEDEuMjc2ODk0MTkwNzQ3OTUANrZrlPWW3QipleiU9ZbdCDNDSVFBVkcuJFVTREdCUC5JUV9MQVNUU0FMRVBSSUNFLjEvMS8yMDIwLjEyLzMxLzIwMjABAAAAAu1aAAIAAAAPMS4yODM3MTc1NjQ4Mzg4ADa2a5T1lt0IigrplPWW3QgzQ0lRQVZHLiRVU0RHQlAuSVFfTEFTVFNBTEVQUklDRS4xLzEvMjAyMS4xMi8zMS8yMDIxAQAAAALtWgACAAAAEDEuMzc1NTU2OTgzOTEyMzMANrZr</t>
  </si>
  <si>
    <t>lPWW3Qhof+mU9ZbdCDNDSVFBVkcuJFVTREdCUC5JUV9MQVNUU0FMRVBSSUNFLjEvMS8yMDIyLjEyLzMxLzIwMjIBAAAAAu1aAAIAAAAQMS4yMzY4NTg2NzQyMTA5NgA2tmuU9ZbdCEkb6pT1lt0IM0NJUUFWRy4kVVNER0JQLklRX0xBU1RTQUxFUFJJQ0UuMS8xLzIwMjMuMTIvMzEvMjAyMwEAAAAC7VoAAgAAABAxLjI0MzY5MjE1NDM2NDM4ADa2a5T1lt0IKZDqlPWW3QgyQ0lRQVZHLiRVU0RFVVIuSVFfTEFTVFNBTEVQUklDRS4xLzEvMjAxMC4zLzMxLzIwMTABAAAAAu1aAAIAAAAQMS4zODM0MjUwMTAxMzMzMwA2tmuU9ZbdCIg14pT1lt0IMkNJUUFWRy4kVVNERVVSLklRX0xBU1RTQUxFUFJJQ0UuNC8xLzIwMTAuNi8zMC8yMDEwAQAAAALtWgACAAAAEDEuMjczNzEzOTQ2NjQ4MzUANrZrlPWW3QizPOyU9ZbdCDJDSVFBVkcuJFVTREVVUi5JUV9MQVNUU0FMRVBSSUNFLjcvMS8yMDEwLjkvMzAvMjAxMAEAAAAC7VoAAgAAABAxLjI5MjA5NjExOTk4OTEzADa2a5T1lt0IkrHslPWW3Qg0Q0lRQVZHLiRVU0RFVVIuSVFfTEFTVFNBTEVQUklDRS4xMC8xLzIwMTAuMTIvMzEvMjAxMAEAAAAC7VoAAgAAABAxLjM1ODg3MTA2NDQzNDc4ADa2a5T1lt0INk3mlPWW3QgyQ0lRQVZHLiRVU0RFVVIuSVFfTEFTVFNBTEVQUklDRS4xLzEvMjAxMS4zLzMxLzIwMTEBAAAAAu1aAAIAAAAQMS4zNjgwNTk4NDcwODg4OQA2</t>
  </si>
  <si>
    <t>tmuU9ZbdCCnC5pT1lt0IMkNJUUFWRy4kVVNERVVSLklRX0xBU1RTQUxFUFJJQ0UuNC8xLzIwMTEuNi8zMC8yMDExAQAAAALtWgACAAAAEDEuNDM5MjQzOTIxMjUyNzUANrZrlPWW3QgHN+eU9ZbdCDJDSVFBVkcuJFVTREVVUi5JUV9MQVNUU0FMRVBSSUNFLjcvMS8yMDExLjkvMzAvMjAxMQEAAAAC7VoAAgAAABAxLjQxMzY4OTk5NjQyMzkxADa2a5T1lt0I39LnlPWW3Qg0Q0lRQVZHLiRVU0RFVVIuSVFfTEFTVFNBTEVQUklDRS4xMC8xLzIwMTEuMTIvMzEvMjAxMQEAAAAC7VoAAgAAABAxLjM0ODQ2Mjc1NzI4MjYxADa2a5T1lt0Iu0folPWW3QgyQ0lRQVZHLiRVU0RFVVIuSVFfTEFTVFNBTEVQUklDRS4xLzEvMjAxMi4zLzMxLzIwMTIBAAAAAu1aAAIAAAAQMS4zMTA5MjE4MzQwNzY5MgA2tmuU9ZbdCJu86JT1lt0IMkNJUUFWRy4kVVNERVVSLklRX0xBU1RTQUxFUFJJQ0UuNC8xLzIwMTIuNi8zMC8yMDEyAQAAAALtWgACAAAAEDEuMjgzMzgyMzQ1MzQwNjYANrZrlPWW3Qh/MemU9ZbdCDJDSVFBVkcuJFVTREVVUi5JUV9MQVNUU0FMRVBSSUNFLjcvMS8yMDEyLjkvMzAvMjAxMgEAAAAC7VoAAgAAABAxLjI1MTc0NDU4NTAzMjYxADa2a5T1lt0IXqbplPWW3Qg0Q0lRQVZHLiRVU0RFVVIuSVFfTEFTVFNBTEVQUklDRS4xMC8xLzIwMTIuMTIvMzEvMjAxMgEAAAAC7VoAAgAAABAxLjI5NzM5OTM2NDUyMTc0</t>
  </si>
  <si>
    <t>ADa2a5T1lt0ISRvqlPWW3QgyQ0lRQVZHLiRVU0RFVVIuSVFfTEFTVFNBTEVQUklDRS4xLzEvMjAxMy4zLzMxLzIwMTMBAAAAAu1aAAIAAAAQMS4zMTk5NDcyMDA5NTU1NgA2tmuU9ZbdCB+36pT1lt0IMkNJUUFWRy4kVVNERVVSLklRX0xBU1RTQUxFUFJJQ0UuNC8xLzIwMTMuNi8zMC8yMDEzAQAAAALtWgACAAAAEDEuMzA1NzU3NzcxOTEyMDkANrZrlPWW3QgKBeuU9ZbdCDJDSVFBVkcuJFVTREVVUi5JUV9MQVNUU0FMRVBSSUNFLjcvMS8yMDEzLjkvMzAvMjAxMwEAAAAC7VoAAgAAABAxLjMyNDk0MDg2MzI3MTc0ADa2a5T1lt0I9VLrlPWW3Qg0Q0lRQVZHLiRVU0RFVVIuSVFfTEFTVFNBTEVQUklDRS4xMC8xLzIwMTMuMTIvMzEvMjAxMwEAAAAC7VoAAgAAABAxLjM2MTUxOTE4NzI5MzQ4ADa2a5T1lt0I3qDrlPWW3QgyQ0lRQVZHLiRVU0RFVVIuSVFfTEFTVFNBTEVQUklDRS4xLzEvMjAxNC4zLzMxLzIwMTQBAAAAAu1aAAIAAAAQMS4zNzA0NzkzOTA4MTExMQA2tmuU9ZbdCMnu65T1lt0IMkNJUUFWRy4kVVNERVVSLklRX0xBU1RTQUxFUFJJQ0UuNC8xLzIwMTQuNi8zMC8yMDE0AQAAAALtWgACAAAAEDEuMzcxNDA5NDA5MTA5ODkANrZrlPWW3QinY+yU9ZbdCDJDSVFBVkcuJFVTREVVUi5JUV9MQVNUU0FMRVBSSUNFLjcvMS8yMDE0LjkvMzAvMjAxNAEAAAAC7VoAAgAAABAxLjMyNTE2ODg3ODU1NDM1</t>
  </si>
  <si>
    <t>ADa2a5T1lt0IiNjslPWW3Qg0Q0lRQVZHLiRVU0RFVVIuSVFfTEFTVFNBTEVQUklDRS4xMC8xLzIwMTQuMTIvMzEvMjAxNAEAAAAC7VoAAgAAABAxLjI0ODIyMzgzOTE4NDc4ADa2a5T1lt0IQXTmlPWW3QgyQ0lRQVZHLiRVU0RFVVIuSVFfTEFTVFNBTEVQUklDRS4xLzEvMjAxNS4zLzMxLzIwMTUBAAAAAu1aAAIAAAAQMS4xMjY2MjYxNTExMjIyMgA2tmuU9ZbdCCHp5pT1lt0IMkNJUUFWRy4kVVNERVVSLklRX0xBU1RTQUxFUFJJQ0UuNC8xLzIwMTUuNi8zMC8yMDE1AQAAAALtWgACAAAAEDEuMTA2OTI0NzMzMzQwNjYANrZrlPWW3Qj8XeeU9ZbdCDJDSVFBVkcuJFVTREVVUi5JUV9MQVNUU0FMRVBSSUNFLjcvMS8yMDE1LjkvMzAvMjAxNQEAAAAC7VoAAgAAABAxLjExMjQ3NjM2MDQxMzA0ADa2a5T1lt0I39LnlPWW3Qg0Q0lRQVZHLiRVU0RFVVIuSVFfTEFTVFNBTEVQUklDRS4xMC8xLzIwMTUuMTIvMzEvMjAxNQEAAAAC7VoAAgAAABAxLjA5NTMxOTU3OTgzNjk2ADa2a5T1lt0Iu0folPWW3QgyQ0lRQVZHLiRVU0RFVVIuSVFfTEFTVFNBTEVQUklDRS4xLzEvMjAxNi4zLzMxLzIwMTYBAAAAAu1aAAIAAAAQMS4xMDI5NTk3NjM0MDY1OQA2tmuU9ZbdCJu86JT1lt0IMkNJUUFWRy4kVVNERVVSLklRX0xBU1RTQUxFUFJJQ0UuNC8xLzIwMTYuNi8zMC8yMDE2AQAAAALtWgACAAAAEDEuMTI5MzI2MzQxNDYx</t>
  </si>
  <si>
    <t>NTQANrZrlPWW3QhzWOmU9ZbdCDJDSVFBVkcuJFVTREVVUi5JUV9MQVNUU0FMRVBSSUNFLjcvMS8yMDE2LjkvMzAvMjAxNgEAAAAC7VoAAgAAABAxLjExNjAxMDg4NzkwMjE3ADa2a5T1lt0IVc3plPWW3Qg0Q0lRQVZHLiRVU0RFVVIuSVFfTEFTVFNBTEVQUklDRS4xMC8xLzIwMTYuMTIvMzEvMjAxNgEAAAAC7VoAAgAAABAxLjA3ODMwNTE0NzA2NTIyADa2a5T1lt0IP0LqlPWW3QgyQ0lRQVZHLiRVU0RFVVIuSVFfTEFTVFNBTEVQUklDRS4xLzEvMjAxNy4zLzMxLzIwMTcBAAAAAu1aAAIAAAAMMS4wNjU1ODA5MDM5AEzea5T1lt0IFN7qlPWW3QgyQ0lRQVZHLiRVU0RFVVIuSVFfTEFTVFNBTEVQUklDRS40LzEvMjAxNy42LzMwLzIwMTcBAAAAAu1aAAIAAAAQMS4xMDAxNDM3OTQxNzU4MgBM3muU9ZbdCAAs65T1lt0IMkNJUUFWRy4kVVNERVVSLklRX0xBU1RTQUxFUFJJQ0UuNy8xLzIwMTcuOS8zMC8yMDE3AQAAAALtWgACAAAAEDEuMTc0ODY1NDM5NDM0NzgATN5rlPWW3Qj1UuuU9ZbdCDRDSVFBVkcuJFVTREVVUi5JUV9MQVNUU0FMRVBSSUNFLjEwLzEvMjAxNy4xMi8zMS8yMDE3AQAAAALtWgACAAAAEDEuMTc4MDkyODU0MjE3MzkATN5rlPWW3QjeoOuU9ZbdCDJDSVFBVkcuJFVTREVVUi5JUV9MQVNUU0FMRVBSSUNFLjEvMS8yMDE4LjMvMzEvMjAxOAEAAAAC7VoAAgAAABAxLjIyODkyMDc3MDk0NDQ0</t>
  </si>
  <si>
    <t>AEzea5T1lt0Iye7rlPWW3QgyQ0lRQVZHLiRVU0RFVVIuSVFfTEFTVFNBTEVQUklDRS40LzEvMjAxOC42LzMwLzIwMTgBAAAAAu1aAAIAAAAQMS4xOTE3MDcyMTg1Mzg0NgBM3muU9ZbdCKdj7JT1lt0IMkNJUUFWRy4kVVNERVVSLklRX0xBU1RTQUxFUFJJQ0UuNy8xLzIwMTguOS8zMC8yMDE4AQAAAALtWgACAAAAEDEuMTYyNzc0MDEyNTk3ODMATN5rlPWW3Qh9/+yU9ZbdCDRDSVFBVkcuJFVTREVVUi5JUV9MQVNUU0FMRVBSSUNFLjEwLzEvMjAxOC4xMi8zMS8yMDE4AQAAAALtWgACAAAAEDEuMTQwOTgzMzAxNTEwODcATN5rlPWW3QhBdOaU9ZbdCDJDSVFBVkcuJFVTREVVUi5JUV9MQVNUU0FMRVBSSUNFLjEvMS8yMDE5LjMvMzEvMjAxOQEAAAAC7VoAAgAAABAxLjEzNTUyNTU2NjAzMzMzAEzea5T1lt0IIenmlPWW3QgyQ0lRQVZHLiRVU0RFVVIuSVFfTEFTVFNBTEVQUklDRS40LzEvMjAxOS42LzMwLzIwMTkBAAAAAu1aAAIAAAAQMS4xMjM4MzQyMzA3NjkyMwBM3muU9ZbdCPGE55T1lt0IMkNJUUFWRy4kVVNERVVSLklRX0xBU1RTQUxFUFJJQ0UuNy8xLzIwMTkuOS8zMC8yMDE5AQAAAALtWgACAAAAEDEuMTExNzcxOTE0NTk3ODMATN5rlPWW3QjQ+eeU9ZbdCDRDSVFBVkcuJFVTREVVUi5JUV9MQVNUU0FMRVBSSUNFLjEwLzEvMjAxOS4xMi8zMS8yMDE5AQAAAALtWgACAAAADzEuMTA3MzA0MTU1ODU4</t>
  </si>
  <si>
    <t>NwBM3muU9ZbdCLVu6JT1lt0IMkNJUUFWRy4kVVNERVVSLklRX0xBU1RTQUxFUFJJQ0UuMS8xLzIwMjAuMy8zMS8yMDIwAQAAAALtWgACAAAAEDEuMTAyMzI2MTUyNDk0NTEATN5rlPWW3QiY4+iU9ZbdCDJDSVFBVkcuJFVTREVVUi5JUV9MQVNUU0FMRVBSSUNFLjQvMS8yMDIwLjYvMzAvMjAyMAEAAAAC7VoAAgAAABAxLjEwMTI0OTQ0MTEyMDg4AEzea5T1lt0Ic1jplPWW3QgyQ0lRQVZHLiRVU0RFVVIuSVFfTEFTVFNBTEVQUklDRS43LzEvMjAyMC45LzMwLzIwMjABAAAAAu1aAAIAAAAQMS4xNjg5MzA5NDM1MjE3NABM3muU9ZbdCFXN6ZT1lt0INENJUUFWRy4kVVNERVVSLklRX0xBU1RTQUxFUFJJQ0UuMTAvMS8yMDIwLjEyLzMxLzIwMjABAAAAAu1aAAIAAAAQMS4xOTI2Mjc0NDQ4MDQzNQBM3muU9ZbdCDRp6pT1lt0IMkNJUUFWRy4kVVNERVVSLklRX0xBU1RTQUxFUFJJQ0UuMS8xLzIwMjEuMy8zMS8yMDIxAQAAAALtWgACAAAADDEuMjA1MjU4MzYwOABM3muU9ZbdCBTe6pT1lt0IMkNJUUFWRy4kVVNERVVSLklRX0xBU1RTQUxFUFJJQ0UuNC8xLzIwMjEuNi8zMC8yMDIxAQAAAALtWgACAAAAEDEuMjA0NzE1NjU5NTA1NDkATN5rlPWW3QgALOuU9ZbdCDJDSVFBVkcuJFVTREVVUi5JUV9MQVNUU0FMRVBSSUNFLjcvMS8yMDIxLjkvMzAvMjAyMQEAAAAC7VoAAgAAABAxLjE3ODkzMDk1NjY5NTY1AEze</t>
  </si>
  <si>
    <t>a5T1lt0I6XnrlPWW3Qg0Q0lRQVZHLiRVU0RFVVIuSVFfTEFTVFNBTEVQUklDRS4xMC8xLzIwMjEuMTIvMzEvMjAyMQEAAAAC7VoAAgAAABAxLjE0MzYzMDY5NjMwNDM1AEzea5T1lt0I1MfrlPWW3QgyQ0lRQVZHLiRVU0RFVVIuSVFfTEFTVFNBTEVQUklDRS4xLzEvMjAyMi4zLzMxLzIwMjIBAAAAAu1aAAIAAAAQMS4xMjIzNjgyMjg2MTExMQBM3muU9ZbdCL4V7JT1lt0IMkNJUUFWRy4kVVNERVVSLklRX0xBU1RTQUxFUFJJQ0UuNC8xLzIwMjIuNi8zMC8yMDIyAQAAAALtWgACAAAAEDEuMDY1MDgzNzQ3Mzg0NjIATN5rlPWW3QieiuyU9ZbdCDJDSVFBVkcuJFVTREVVUi5JUV9MQVNUU0FMRVBSSUNFLjcvMS8yMDIyLjkvMzAvMjAyMgEAAAAC7VoAAgAAAA0xLjAwNzk3NDUxOTI1AEzea5T1lt0Iff/slPWW3Qg0Q0lRQVZHLiRVU0RFVVIuSVFfTEFTVFNBTEVQUklDRS4xMC8xLzIwMjIuMTIvMzEvMjAyMgEAAAAC7VoAAgAAABAxLjAyMTMwNzEwNjYzMDQzAEzea5T1lt0INZvmlPWW3QgyQ0lRQVZHLiRVU0RFVVIuSVFfTEFTVFNBTEVQUklDRS4xLzEvMjAyMy4zLzMxLzIwMjMBAAAAAu1aAAIAAAAQMS4wNzI0NTAwMTY0MzMzMwBM3muU9ZbdCBYQ55T1lt0IMkNJUUFWRy4kVVNERVVSLklRX0xBU1RTQUxFUFJJQ0UuNC8xLzIwMjMuNi8zMC8yMDIzAQAAAALtWgACAAAAEDEuMDg4NDk1MzY2MzI5NjcATN5r</t>
  </si>
  <si>
    <t>lPWW3QjxhOeU9ZbdCDJDSVFBVkcuJFVTREVVUi5JUV9MQVNUU0FMRVBSSUNFLjcvMS8yMDIzLjkvMzAvMjAyMwEAAAAC7VoAAgAAABAxLjA4ODQ1NzI1MDYxOTU3AEzea5T1lt0I0PnnlPWW3Qg0Q0lRQVZHLiRVU0RFVVIuSVFfTEFTVFNBTEVQUklDRS4xMC8xLzIwMjMuMTIvMzEvMjAyMwEAAAAC7VoAAgAAABAxLjA3NjM4MTQ0MDA4Njk2AEzea5T1lt0ItW7olPWW3QgyQ0lRQVZHLiRVU0RFVVIuSVFfTEFTVFNBTEVQUklDRS4xLzEvMjAyNC4zLzMxLzIwMjQBAAAAAu1aAAIAAAAQMS4wODU1ODQwMTY4NTcxNABM3muU9ZbdCIoK6ZT1lt0IMkNJUUFWRy4kVVNERVVSLklRX0xBU1RTQUxFUFJJQ0UuNC8xLzIwMjQuNi8zMC8yMDI0AQAAAALtWgACAAAAEDEuMDc2MzM1NjI5MTIwODgATN5rlPWW3Qhof+mU9ZbdCDJDSVFBVkcuJFVTREVVUi5JUV9MQVNUU0FMRVBSSUNFLjcvMS8yMDI0LjkvMzAvMjAyNAEAAAAC7VoAAgAAABAxLjA5OTA4MTM4NTMyNjA5AEzea5T1lt0IVvTplPWW3Qg0Q0lRQVZHLiRVU0RFVVIuSVFfTEFTVFNBTEVQUklDRS4xMC8xLzIwMjQuMTIvMzEvMjAyNAEAAAAC7VoAAgAAABAxLjA2NjQxMjY3MjgwNDM1AEzea5T1lt0INGnqlPWW3QgzQ0lRQVZHLiRVU0RFVVIuSVFfTEFTVFNBTEVQUklDRS4xLzEvMjAxMS4xMi8zMS8yMDExAQAAAALtWgACAAAAEDEuMzkyMzY4ODY2ODg0OTMA</t>
  </si>
  <si>
    <t>TN5rlPWW3QjoQuGU9ZbdCDNDSVFBVkcuJFVTREVVUi5JUV9MQVNUU0FMRVBSSUNFLjEvMS8yMDEyLjEyLzMxLzIwMTIBAAAAAu1aAAIAAAAQMS4yODU4MDAzMzc5Mzk4OQBM3muU9ZbdCLM87JT1lt0IM0NJUUFWRy4kVVNERVVSLklRX0xBU1RTQUxFUFJJQ0UuMS8xLzIwMTMuMTIvMzEvMjAxMwEAAAAC7VoAAgAAABAxLjMyODE0NjY1NzQ4NDkzAEzea5T1lt0IkrHslPWW3QgzQ0lRQVZHLiRVU0RFVVIuSVFfTEFTVFNBTEVQUklDRS4xLzEvMjAxNC4xMi8zMS8yMDE0AQAAAALtWgACAAAADzEuMzI4NDc1NDI4NTg2MwBM3muU9ZbdCHQm7ZT1lt0IM0NJUUFWRy4kVVNERVVSLklRX0xBU1RTQUxFUFJJQ0UuMS8xLzIwMTUuMTIvMzEvMjAxNQEAAAAC7VoAAgAAABAxLjExMDI1Njc5NjgxNjQ0AEzea5T1lt0IKcLmlPWW3QgzQ0lRQVZHLiRVU0RFVVIuSVFfTEFTVFNBTEVQUklDRS4xLzEvMjAxNi4xMi8zMS8yMDE2AQAAAALtWgACAAAAEDEuMTA2NTk4NjYzMjc4NjkATN5rlPWW3QgHN+eU9ZbdCDNDSVFBVkcuJFVTREVVUi5JUV9MQVNUU0FMRVBSSUNFLjEvMS8yMDE3LjEyLzMxLzIwMTcBAAAAAu1aAAIAAAAQMS4xMzAxMDI4MjA5MjMyOQBM3muU9ZbdCOur55T1lt0IM0NJUUFWRy4kVVNERVVSLklRX0xBU1RTQUxFUFJJQ0UuMS8xLzIwMTguMTIvMzEvMjAxOAEAAAAC7VoAAgAAABAxLjE4MDgwNTIwMzIw</t>
  </si>
  <si>
    <t>NTQ4AEzea5T1lt0IxiDolPWW3QgzQ0lRQVZHLiRVU0RFVVIuSVFfTEFTVFNBTEVQUklDRS4xLzEvMjAxOS4xMi8zMS8yMDE5AQAAAALtWgACAAAAEDEuMTE5NTEwMTc2NTA2ODUATN5rlPWW3QipleiU9ZbdCDNDSVFBVkcuJFVTREVVUi5JUV9MQVNUU0FMRVBSSUNFLjEvMS8yMDIwLjEyLzMxLzIwMjABAAAAAu1aAAIAAAAQMS4xNDE0OTkzMTg5NzU0MQBM3muU9ZbdCIoK6ZT1lt0IM0NJUUFWRy4kVVNERVVSLklRX0xBU1RTQUxFUFJJQ0UuMS8xLzIwMjEuMTIvMzEvMjAyMQEAAAAC7VoAAgAAABAxLjE4Mjk1MzU2MDQ0NjU4AEzea5T1lt0IaH/plPWW3QgzQ0lRQVZHLiRVU0RFVVIuSVFfTEFTVFNBTEVQUklDRS4xLzEvMjAyMi4xMi8zMS8yMDIyAQAAAALtWgACAAAAEDEuMDUzNzc5OTIxMDA4MjIATN5rlPWW3QhJG+qU9ZbdCDNDSVFBVkcuJFVTREVVUi5JUV9MQVNUU0FMRVBSSUNFLjEvMS8yMDIzLjEyLzMxLzIwMjMBAAAAAu1aAAIAAAAQMS4wODE0NzU5OTgyNDY1OABM3muU9ZbdCCmQ6pT1lt0IMkNJUUFWRy4kVVNESlBZLklRX0xBU1RTQUxFUFJJQ0UuMS8xLzIwMTAuMy8zMS8yMDEwAQAAAALtWgACAAAAEjAuMDExMDE4OTI2NDg4ODg4OQBM3muU9ZbdCOkb4ZT1lt0IMkNJUUFWRy4kVVNESlBZLklRX0xBU1RTQUxFUFJJQ0UuNC8xLzIwMTAuNi8zMC8yMDEwAQAAAALtWgACAAAAEjAuMDEwODY2</t>
  </si>
  <si>
    <t>MjQ2NjgxMzE4NwBM3muU9ZbdCLM87JT1lt0IMkNJUUFWRy4kVVNESlBZLklRX0xBU1RTQUxFUFJJQ0UuNy8xLzIwMTAuOS8zMC8yMDEwAQAAAALtWgACAAAAEjAuMDExNjU1OTYzMjI4MjYwOQBM3muU9ZbdCJKx7JT1lt0INENJUUFWRy4kVVNESlBZLklRX0xBU1RTQUxFUFJJQ0UuMTAvMS8yMDEwLjEyLzMxLzIwMTABAAAAAu1aAAIAAAASMC4wMTIxMTY4NjA0NjczOTEzAEzea5T1lt0INk3mlPWW3QgyQ0lRQVZHLiRVU0RKUFkuSVFfTEFTVFNBTEVQUklDRS4xLzEvMjAxMS4zLzMxLzIwMTEBAAAAAu1aAAIAAAASMC4wMTIxNTczNjUxMzMzMzMzAEzea5T1lt0IKcLmlPWW3QgyQ0lRQVZHLiRVU0RKUFkuSVFfTEFTVFNBTEVQUklDRS40LzEvMjAxMS42LzMwLzIwMTEBAAAAAu1aAAIAAAASMC4wMTIyNjUxMjQ0Mjg1NzE0AEzea5T1lt0IBzfnlPWW3QgyQ0lRQVZHLiRVU0RKUFkuSVFfTEFTVFNBTEVQUklDRS43LzEvMjAxMS45LzMwLzIwMTEBAAAAAu1aAAIAAAASMC4wMTI4NzIzMzU1OTc4MjYxAEzea5T1lt0I39LnlPWW3Qg0Q0lRQVZHLiRVU0RKUFkuSVFfTEFTVFNBTEVQUklDRS4xMC8xLzIwMTEuMTIvMzEvMjAxMQEAAAAC7VoAAgAAABIwLjAxMjkzNTUzMDEwODY5NTcATN5rlPWW3Qi7R+iU9ZbdCDJDSVFBVkcuJFVTREpQWS5JUV9MQVNUU0FMRVBSSUNFLjEvMS8yMDEyLjMvMzEvMjAxMgEAAAAC</t>
  </si>
  <si>
    <t>7VoAAgAAABIwLjAxMjYxODQ0ODgwMjE5NzgATN5rlPWW3QibvOiU9ZbdCDJDSVFBVkcuJFVTREpQWS5JUV9MQVNUU0FMRVBSSUNFLjQvMS8yMDEyLjYvMzAvMjAxMgEAAAAC7VoAAgAAABIwLjAxMjQ5MDIxNDg5MDEwOTkATN5rlPWW3Qh/MemU9ZbdCDJDSVFBVkcuJFVTREpQWS5JUV9MQVNUU0FMRVBSSUNFLjcvMS8yMDEyLjkvMzAvMjAxMgEAAAAC7VoAAgAAAAwwLjAxMjcxOTQyMTUATN5rlPWW3QhepumU9ZbdCDRDSVFBVkcuJFVTREpQWS5JUV9MQVNUU0FMRVBSSUNFLjEwLzEvMjAxMi4xMi8zMS8yMDEyAQAAAALtWgACAAAAEjAuMDEyMzE0OTU1NzgyNjA4NwBM3muU9ZbdCEkb6pT1lt0IMkNJUUFWRy4kVVNESlBZLklRX0xBU1RTQUxFUFJJQ0UuMS8xLzIwMTMuMy8zMS8yMDEzAQAAAALtWgACAAAAEjAuMDEwODQ0MzE5OTU1NTU1NgBM3muU9ZbdCB+36pT1lt0IMkNJUUFWRy4kVVNESlBZLklRX0xBU1RTQUxFUFJJQ0UuNC8xLzIwMTMuNi8zMC8yMDEzAQAAAALtWgACAAAAEjAuMDEwMTIyNDMwMTUzODQ2MgBM3muU9ZbdCAoF65T1lt0IMkNJUUFWRy4kVVNESlBZLklRX0xBU1RTQUxFUFJJQ0UuNy8xLzIwMTMuOS8zMC8yMDEzAQAAAALtWgACAAAAEjAuMDEwMTE1MDA3MTQxMzA0MwBM3muU9ZbdCPVS65T1lt0INENJUUFWRy4kVVNESlBZLklRX0xBU1RTQUxFUFJJQ0UuMTAvMS8yMDEzLjEyLzMx</t>
  </si>
  <si>
    <t>LzIwMTMBAAAAAu1aAAIAAAATMC4wMDk5NTkzODE1MjE3MzkxMwBM3muU9ZbdCN6g65T1lt0IMkNJUUFWRy4kVVNESlBZLklRX0xBU1RTQUxFUFJJQ0UuMS8xLzIwMTQuMy8zMS8yMDE0AQAAAALtWgACAAAAEzAuMDA5NzI5MDUwMjg4ODg4ODkATN5rlPWW3QjJ7uuU9ZbdCDJDSVFBVkcuJFVTREpQWS5JUV9MQVNUU0FMRVBSSUNFLjQvMS8yMDE0LjYvMzAvMjAxNAEAAAAC7VoAAgAAABIwLjAwOTc5NTgyNTYwNDM5NTYATN5rlPWW3QinY+yU9ZbdCDJDSVFBVkcuJFVTREpQWS5JUV9MQVNUU0FMRVBSSUNFLjcvMS8yMDE0LjkvMzAvMjAxNAEAAAAC7VoAAgAAABMwLjAwOTYyMzU1NzY0MTMwNDM1AEzea5T1lt0IiNjslPWW3Qg0Q0lRQVZHLiRVU0RKUFkuSVFfTEFTVFNBTEVQUklDRS4xMC8xLzIwMTQuMTIvMzEvMjAxNAEAAAAC7VoAAgAAABIwLjAwODc0NDMwODI4MjYwODcATN5rlPWW3QhBdOaU9ZbdCDJDSVFBVkcuJFVTREpQWS5JUV9MQVNUU0FMRVBSSUNFLjEvMS8yMDE1LjMvMzEvMjAxNQEAAAAC7VoAAgAAABMwLjAwODM5MzIzNjY3Nzc3Nzc4AEzea5T1lt0IIenmlPWW3QgyQ0lRQVZHLiRVU0RKUFkuSVFfTEFTVFNBTEVQUklDRS40LzEvMjAxNS42LzMwLzIwMTUBAAAAAu1aAAIAAAATMC4wMDgyNDE3MTMyNjM3MzYyNgBM3muU9ZbdCPxd55T1lt0IMkNJUUFWRy4kVVNESlBZLklRX0xBU1RTQUxF</t>
  </si>
  <si>
    <t>UFJJQ0UuNy8xLzIwMTUuOS8zMC8yMDE1AQAAAALtWgACAAAAEzAuMDA4MTg3OTA2NTY1MjE3MzkATN5rlPWW3Qjf0ueU9ZbdCDRDSVFBVkcuJFVTREpQWS5JUV9MQVNUU0FMRVBSSUNFLjEwLzEvMjAxNS4xMi8zMS8yMDE1AQAAAALtWgACAAAACzAuMDA4MjM3MjQ4AEzea5T1lt0Iu0folPWW3QgyQ0lRQVZHLiRVU0RKUFkuSVFfTEFTVFNBTEVQUklDRS4xLzEvMjAxNi4zLzMxLzIwMTYBAAAAAu1aAAIAAAASMC4wMDg2NzUyNTYxOTc4MDIyAEzea5T1lt0ImOPolPWW3QgyQ0lRQVZHLiRVU0RKUFkuSVFfTEFTVFNBTEVQUklDRS40LzEvMjAxNi42LzMwLzIwMTYBAAAAAu1aAAIAAAATMC4wMDkyNjczNTkxODY4MTMxOQBM3muU9ZbdCHNY6ZT1lt0IMkNJUUFWRy4kVVNESlBZLklRX0xBU1RTQUxFUFJJQ0UuNy8xLzIwMTYuOS8zMC8yMDE2AQAAAALtWgACAAAAEzAuMDA5NzY5OTMxNDg5MTMwNDMATN5rlPWW3QhVzemU9ZbdCDRDSVFBVkcuJFVTREpQWS5JUV9MQVNUU0FMRVBSSUNFLjEwLzEvMjAxNi4xMi8zMS8yMDE2AQAAAALtWgACAAAAEzAuMDA5MTU3ODY4MDMyNjA4NjkATN5rlPWW3Qg/QuqU9ZbdCDJDSVFBVkcuJFVTREpQWS5JUV9MQVNUU0FMRVBSSUNFLjEvMS8yMDE3LjMvMzEvMjAxNwEAAAAC7VoAAgAAABMwLjAwODc5NTY3NDI4ODg4ODg5AEzea5T1lt0IFN7qlPWW3QgyQ0lRQVZHLiRVU0RK</t>
  </si>
  <si>
    <t>UFkuSVFfTEFTVFNBTEVQUklDRS40LzEvMjAxNy42LzMwLzIwMTcBAAAAAu1aAAIAAAATMC4wMDkwMDM4MDI3MzYyNjM3NABM3muU9ZbdCAAs65T1lt0IMkNJUUFWRy4kVVNESlBZLklRX0xBU1RTQUxFUFJJQ0UuNy8xLzIwMTcuOS8zMC8yMDE3AQAAAALtWgACAAAAEzAuMDA5MDE2NTgzMzkxMzA0MzUATN5rlPWW3QjpeeuU9ZbdCDRDSVFBVkcuJFVTREpQWS5JUV9MQVNUU0FMRVBSSUNFLjEwLzEvMjAxNy4xMi8zMS8yMDE3AQAAAALtWgACAAAAEzAuMDA4ODYwMTc1OTAyMTczOTEATN5rlPWW3QjeoOuU9ZbdCDJDSVFBVkcuJFVTREpQWS5JUV9MQVNUU0FMRVBSSUNFLjEvMS8yMDE4LjMvMzEvMjAxOAEAAAAC7VoAAgAAABMwLjAwOTIzODkyOTQ4ODg4ODg5AEzea5T1lt0Iye7rlPWW3QgyQ0lRQVZHLiRVU0RKUFkuSVFfTEFTVFNBTEVQUklDRS40LzEvMjAxOC42LzMwLzIwMTgBAAAAAu1aAAIAAAASMC4wMDkxNjQxODMyOTY3MDMzAEzea5T1lt0InorslPWW3QgyQ0lRQVZHLiRVU0RKUFkuSVFfTEFTVFNBTEVQUklDRS43LzEvMjAxOC45LzMwLzIwMTgBAAAAAu1aAAIAAAATMC4wMDg5NzA3NTA2MDg2OTU2NQBM3muU9ZbdCH3/7JT1lt0INENJUUFWRy4kVVNESlBZLklRX0xBU1RTQUxFUFJJQ0UuMTAvMS8yMDE4LjEyLzMxLzIwMTgBAAAAAu1aAAIAAAASMC4wMDg4NzUxNTgwMzI2MDg3AEzea5T1lt0I</t>
  </si>
  <si>
    <t>NZvmlPWW3QgyQ0lRQVZHLiRVU0RKUFkuSVFfTEFTVFNBTEVQUklDRS4xLzEvMjAxOS4zLzMxLzIwMTkBAAAAAu1aAAIAAAATMC4wMDkwODA0NTg0NDQ0NDQ0NABM3muU9ZbdCBYQ55T1lt0IMkNJUUFWRy4kVVNESlBZLklRX0xBU1RTQUxFUFJJQ0UuNC8xLzIwMTkuNi8zMC8yMDE5AQAAAALtWgACAAAAEzAuMDA5MDk5NTEyOTU2MDQzOTYATN5rlPWW3QjxhOeU9ZbdCDJDSVFBVkcuJFVTREpQWS5JUV9MQVNUU0FMRVBSSUNFLjcvMS8yMDE5LjkvMzAvMjAxOQEAAAAC7VoAAgAAABMwLjAwOTMyMDI3MTkyMzkxMzA0AEzea5T1lt0I0PnnlPWW3Qg0Q0lRQVZHLiRVU0RKUFkuSVFfTEFTVFNBTEVQUklDRS4xMC8xLzIwMTkuMTIvMzEvMjAxOQEAAAAC7VoAAgAAABMwLjAwOTE5ODAwOTU3NjA4Njk2AEzea5T1lt0ItW7olPWW3QgyQ0lRQVZHLiRVU0RKUFkuSVFfTEFTVFNBTEVQUklDRS4xLzEvMjAyMC4zLzMxLzIwMjABAAAAAu1aAAIAAAATMC4wMDkxNzgxODk1MDU0OTQ1MQBM3muU9ZbdCJjj6JT1lt0IMkNJUUFWRy4kVVNESlBZLklRX0xBU1RTQUxFUFJJQ0UuNC8xLzIwMjAuNi8zMC8yMDIwAQAAAALtWgACAAAAEzAuMDA5Mjk4MzA2NzkxMjA4NzkATN5rlPWW3QhzWOmU9ZbdCDJDSVFBVkcuJFVTREpQWS5JUV9MQVNUU0FMRVBSSUNFLjcvMS8yMDIwLjkvMzAvMjAyMAEAAAAC7VoAAgAAABMwLjAwOTQy</t>
  </si>
  <si>
    <t>MzkxNzI3MTczOTEzAEzea5T1lt0IVc3plPWW3Qg0Q0lRQVZHLiRVU0RKUFkuSVFfTEFTVFNBTEVQUklDRS4xMC8xLzIwMjAuMTIvMzEvMjAyMAEAAAAC7VoAAgAAABMwLjAwOTU3NTQ4NzIxNzM5MTMxAEzea5T1lt0INGnqlPWW3QgyQ0lRQVZHLiRVU0RKUFkuSVFfTEFTVFNBTEVQUklDRS4xLzEvMjAyMS4zLzMxLzIwMjEBAAAAAu1aAAIAAAATMC4wMDk0MzU4MDYyNjY2NjY2NwBM3muU9ZbdCBTe6pT1lt0IMkNJUUFWRy4kVVNESlBZLklRX0xBU1RTQUxFUFJJQ0UuNC8xLzIwMjEuNi8zMC8yMDIxAQAAAALtWgACAAAAEzAuMDA5MTM2NjM5OTQ1MDU0OTQATN5rlPWW3QgALOuU9ZbdCDJDSVFBVkcuJFVTREpQWS5JUV9MQVNUU0FMRVBSSUNFLjcvMS8yMDIxLjkvMzAvMjAyMQEAAAAC7VoAAgAAABMwLjAwOTA4MjYzODIyODI2MDg3AEzea5T1lt0I6XnrlPWW3Qg0Q0lRQVZHLiRVU0RKUFkuSVFfTEFTVFNBTEVQUklDRS4xMC8xLzIwMjEuMTIvMzEvMjAyMQEAAAAC7VoAAgAAABMwLjAwODgwMTgyNjYxOTU2NTIyAEzea5T1lt0I1MfrlPWW3QgyQ0lRQVZHLiRVU0RKUFkuSVFfTEFTVFNBTEVQUklDRS4xLzEvMjAyMi4zLzMxLzIwMjIBAAAAAu1aAAIAAAATMC4wMDg2MDY4NzcxODg4ODg4OQBM3muU9ZbdCL4V7JT1lt0IMkNJUUFWRy4kVVNESlBZLklRX0xBU1RTQUxFUFJJQ0UuNC8xLzIwMjIuNi8zMC8y</t>
  </si>
  <si>
    <t>MDIyAQAAAALtWgACAAAAEjAuMDA3NzE5MTQ5NjA0Mzk1NgBM3muU9ZbdCJ6K7JT1lt0IMkNJUUFWRy4kVVNESlBZLklRX0xBU1RTQUxFUFJJQ0UuNy8xLzIwMjIuOS8zMC8yMDIyAQAAAALtWgACAAAAEzAuMDA3MjQxOTE2MzE1MjE3MzkATN5rlPWW3Qh9/+yU9ZbdCDRDSVFBVkcuJFVTREpQWS5JUV9MQVNUU0FMRVBSSUNFLjEwLzEvMjAyMi4xMi8zMS8yMDIyAQAAAALtWgACAAAAEzAuMDA3MDkwODg0MzA0MzQ3ODMATN5rlPWW3Qg1m+aU9ZbdCDJDSVFBVkcuJFVTREpQWS5JUV9MQVNUU0FMRVBSSUNFLjEvMS8yMDIzLjMvMzEvMjAyMwEAAAAC7VoAAgAAABMwLjAwNzU1OTA3MzA4ODg4ODg5AEzea5T1lt0IFhDnlPWW3QgyQ0lRQVZHLiRVU0RKUFkuSVFfTEFTVFNBTEVQUklDRS40LzEvMjAyMy42LzMwLzIwMjMBAAAAAu1aAAIAAAASMC4wMDcyODYyNDI4MDIxOTc4AEzea5T1lt0I8YTnlPWW3QgyQ0lRQVZHLiRVU0RKUFkuSVFfTEFTVFNBTEVQUklDRS43LzEvMjAyMy45LzMwLzIwMjMBAAAAAu1aAAIAAAASMC4wMDY5MjIyMzc3ODI2MDg3AEzea5T1lt0IxiDolPWW3Qg0Q0lRQVZHLiRVU0RKUFkuSVFfTEFTVFNBTEVQUklDRS4xMC8xLzIwMjMuMTIvMzEvMjAyMwEAAAAC7VoAAgAAABMwLjAwNjc3NDA1MjkzNDc4MjYxAEzea5T1lt0IqZXolPWW3QgyQ0lRQVZHLiRVU0RKUFkuSVFfTEFTVFNBTEVQ</t>
  </si>
  <si>
    <t>UklDRS4xLzEvMjAyNC4zLzMxLzIwMjQBAAAAAu1aAAIAAAATMC4wMDY3MzY2MjEyMzA3NjkyMwBM3muU9ZbdCIoK6ZT1lt0IMkNJUUFWRy4kVVNESlBZLklRX0xBU1RTQUxFUFJJQ0UuNC8xLzIwMjQuNi8zMC8yMDI0AQAAAALtWgACAAAAEzAuMDA2NDE1NjU0ODQ2MTUzODUATN5rlPWW3Qhof+mU9ZbdCDJDSVFBVkcuJFVTREpQWS5JUV9MQVNUU0FMRVBSSUNFLjcvMS8yMDI0LjkvMzAvMjAyNAEAAAAC7VoAAgAAABMwLjAwNjcyMjA1NzMzNjk1NjUyAEzea5T1lt0IVvTplPWW3Qg0Q0lRQVZHLiRVU0RKUFkuSVFfTEFTVFNBTEVQUklDRS4xMC8xLzIwMjQuMTIvMzEvMjAyNAEAAAAC7VoAAgAAABMwLjAwNjU2MTUwODAyMTczOTEzAEzea5T1lt0IKZDqlPWW3QgzQ0lRQVZHLiRVU0RKUFkuSVFfTEFTVFNBTEVQUklDRS4xLzEvMjAxMS4xMi8zMS8yMDExAQAAAALtWgACAAAAEjAuMDEyNTYwNTgzMDk1ODkwNABM3muU9ZbdCIwq4JT1lt0IM0NJUUFWRy4kVVNESlBZLklRX0xBU1RTQUxFUFJJQ0UuMS8xLzIwMTIuMTIvMzEvMjAxMgEAAAAC7VoAAgAAABIwLjAxMjUzNTY1ODc1OTU2MjgATN5rlPWW3QizPOyU9ZbdCDNDSVFBVkcuJFVTREpQWS5JUV9MQVNUU0FMRVBSSUNFLjEvMS8yMDEzLjEyLzMxLzIwMTMBAAAAAu1aAAIAAAASMC4wMTAyNTc0NjIxODM1NjE2AEzea5T1lt0IkrHslPWW3QgzQ0lRQVZH</t>
  </si>
  <si>
    <t>LiRVU0RKUFkuSVFfTEFTVFNBTEVQUklDRS4xLzEvMjAxNC4xMi8zMS8yMDE0AQAAAALtWgACAAAAEzAuMDA5NDcwODk5NTA5NTg5MDQATN5rlPWW3Qh0Ju2U9ZbdCDNDSVFBVkcuJFVTREpQWS5JUV9MQVNUU0FMRVBSSUNFLjEvMS8yMDE1LjEyLzMxLzIwMTUBAAAAAu1aAAIAAAASMC4wMDgyNjQzODc0NzM5NzI2AEzea5T1lt0IKcLmlPWW3QgzQ0lRQVZHLiRVU0RKUFkuSVFfTEFTVFNBTEVQUklDRS4xLzEvMjAxNi4xMi8zMS8yMDE2AQAAAALtWgACAAAAEzAuMDA5MjE4OTQ5NjA2NTU3MzgATN5rlPWW3QgHN+eU9ZbdCDNDSVFBVkcuJFVTREpQWS5JUV9MQVNUU0FMRVBSSUNFLjEvMS8yMDE3LjEyLzMxLzIwMTcBAAAAAu1aAAIAAAATMC4wMDg5MTk1MDI5ODYzMDEzNwBM3muU9ZbdCOur55T1lt0IM0NJUUFWRy4kVVNESlBZLklRX0xBU1RTQUxFUFJJQ0UuMS8xLzIwMTguMTIvMzEvMjAxOAEAAAAC7VoAAgAAABMwLjAwOTA2MTAwODAyNDY1NzUzAEzea5T1lt0IxiDolPWW3QgzQ0lRQVZHLiRVU0RKUFkuSVFfTEFTVFNBTEVQUklDRS4xLzEvMjAxOS4xMi8zMS8yMDE5AQAAAALtWgACAAAAEzAuMDA5MTc1Mjg0NDg0OTMxNTEATN5rlPWW3QipleiU9ZbdCDNDSVFBVkcuJFVTREpQWS5JUV9MQVNUU0FMRVBSSUNFLjEvMS8yMDIwLjEyLzMxLzIwMjABAAAAAu1aAAIAAAATMC4wMDkzNjk2ODk1NTE5MTI1</t>
  </si>
  <si>
    <t>NwBM3muU9ZbdCIoK6ZT1lt0IM0NJUUFWRy4kVVNESlBZLklRX0xBU1RTQUxFUFJJQ0UuMS8xLzIwMjEuMTIvMzEvMjAyMQEAAAAC7VoAAgAAABMwLjAwOTExMjQwNDI4NzY3MTIzAEzea5T1lt0IaH/plPWW3QgzQ0lRQVZHLiRVU0RKUFkuSVFfTEFTVFNBTEVQUklDRS4xLzEvMjAyMi4xMi8zMS8yMDIyAQAAAALtWgACAAAAEzAuMDA3NjU5Mzk1MTE3ODA4MjIATN5rlPWW3QhJG+qU9ZbdCDNDSVFBVkcuJFVTREpQWS5JUV9MQVNUU0FMRVBSSUNFLjEvMS8yMDIzLjEyLzMxLzIwMjMBAAAAAu1aAAIAAAATMC4wMDcxMzI2NjY5MDEzNjk4NgBM3muU9ZbdCB+36pT1lt0IMkNJUUFWRy4kVVNEQVVELklRX0xBU1RTQUxFUFJJQ0UuMS8xLzIwMTAuMy8zMS8yMDEwAQAAAALtWgACAAAAETAuOTAzNDUzNzE4MjY2NjY3AEzea5T1lt0Ik9zflPWW3QgyQ0lRQVZHLiRVU0RBVUQuSVFfTEFTVFNBTEVQUklDRS40LzEvMjAxMC42LzMwLzIwMTABAAAAAu1aAAIAAAAQMC44ODM0MTk0NjE0Mzk1NgBM3muU9ZbdCLM87JT1lt0IMkNJUUFWRy4kVVNEQVVELklRX0xBU1RTQUxFUFJJQ0UuNy8xLzIwMTAuOS8zMC8yMDEwAQAAAALtWgACAAAAETAuOTA0MTQ2ODc1OTEzMDQzAEzea5T1lt0IiNjslPWW3Qg0Q0lRQVZHLiRVU0RBVUQuSVFfTEFTVFNBTEVQUklDRS4xMC8xLzIwMTAuMTIvMzEvMjAxMAEAAAAC7VoAAgAAABEw</t>
  </si>
  <si>
    <t>Ljk4Nzk0MDI1MjY4NDc4MwBM3muU9ZbdCDZN5pT1lt0IMkNJUUFWRy4kVVNEQVVELklRX0xBU1RTQUxFUFJJQ0UuMS8xLzIwMTEuMy8zMS8yMDExAQAAAALtWgACAAAAEDEuMDA1NTA3NjY3ODMzMzMATN5rlPWW3QgpwuaU9ZbdCDJDSVFBVkcuJFVTREFVRC5JUV9MQVNUU0FMRVBSSUNFLjQvMS8yMDExLjYvMzAvMjAxMQEAAAAC7VoAAgAAAA8xLjA2MjgzODc0NDYwNDQATN5rlPWW3Qj8XeeU9ZbdCDJDSVFBVkcuJFVTREFVRC5JUV9MQVNUU0FMRVBSSUNFLjcvMS8yMDExLjkvMzAvMjAxMQEAAAAC7VoAAgAAABAxLjA1MTEyMTE1NjYxOTU3AEzea5T1lt0I39LnlPWW3Qg0Q0lRQVZHLiRVU0RBVUQuSVFfTEFTVFNBTEVQUklDRS4xMC8xLzIwMTEuMTIvMzEvMjAxMQEAAAAC7VoAAgAAABAxLjAxMzI3MzIzNzgzNjk2AEzea5T1lt0Iu0folPWW3QgyQ0lRQVZHLiRVU0RBVUQuSVFfTEFTVFNBTEVQUklDRS4xLzEvMjAxMi4zLzMxLzIwMTIBAAAAAu1aAAIAAAAPMS4wNTUxNjgyMjk4MDIyAEzea5T1lt0Im7zolPWW3QgyQ0lRQVZHLiRVU0RBVUQuSVFfTEFTVFNBTEVQUklDRS40LzEvMjAxMi42LzMwLzIwMTIBAAAAAu1aAAIAAAAQMS4wMDk5NzkxMDE1ODI0MgBM3muU9ZbdCH8x6ZT1lt0IMkNJUUFWRy4kVVNEQVVELklRX0xBU1RTQUxFUFJJQ0UuNy8xLzIwMTIuOS8zMC8yMDEyAQAAAALtWgACAAAADDEu</t>
  </si>
  <si>
    <t>MDM5NTMyMzU3NQBM3muU9ZbdCF6m6ZT1lt0INENJUUFWRy4kVVNEQVVELklRX0xBU1RTQUxFUFJJQ0UuMTAvMS8yMDEyLjEyLzMxLzIwMTIBAAAAAu1aAAIAAAAQMS4wMzgxMjg3NzM5MDIxNwBM3muU9ZbdCD9C6pT1lt0IMkNJUUFWRy4kVVNEQVVELklRX0xBU1RTQUxFUFJJQ0UuMS8xLzIwMTMuMy8zMS8yMDEzAQAAAALtWgACAAAAEDEuMDM4NTMxNjY2MzQ0NDQATN5rlPWW3Qgft+qU9ZbdCDJDSVFBVkcuJFVTREFVRC5JUV9MQVNUU0FMRVBSSUNFLjQvMS8yMDEzLjYvMzAvMjAxMwEAAAAC7VoAAgAAABEwLjk5MDI4MTkxMTM3MzYyNgBM3muU9ZbdCAoF65T1lt0IMkNJUUFWRy4kVVNEQVVELklRX0xBU1RTQUxFUFJJQ0UuNy8xLzIwMTMuOS8zMC8yMDEzAQAAAALtWgACAAAAETAuOTE1NTY3MjAyNzkzNDc4AEzea5T1lt0I9VLrlPWW3Qg0Q0lRQVZHLiRVU0RBVUQuSVFfTEFTVFNBTEVQUklDRS4xMC8xLzIwMTMuMTIvMzEvMjAxMwEAAAAC7VoAAgAAABEwLjkyNzAzMDExMzExOTU2NQBM3muU9ZbdCN6g65T1lt0IMkNJUUFWRy4kVVNEQVVELklRX0xBU1RTQUxFUFJJQ0UuMS8xLzIwMTQuMy8zMS8yMDE0AQAAAALtWgACAAAAETAuODk2NzM3OTc4NTExMTExAEzea5T1lt0Iye7rlPWW3QgyQ0lRQVZHLiRVU0RBVUQuSVFfTEFTVFNBTEVQUklDRS40LzEvMjAxNC42LzMwLzIwMTQBAAAAAu1aAAIAAAAR</t>
  </si>
  <si>
    <t>MC45MzI4NjU0ODExNTM4NDYATN5rlPWW3QinY+yU9ZbdCDJDSVFBVkcuJFVTREFVRC5JUV9MQVNUU0FMRVBSSUNFLjcvMS8yMDE0LjkvMzAvMjAxNAEAAAAC7VoAAgAAABEwLjkyNDk3NzI0NDA4Njk1NgBM3muU9ZbdCIjY7JT1lt0INENJUUFWRy4kVVNEQVVELklRX0xBU1RTQUxFUFJJQ0UuMTAvMS8yMDE0LjEyLzMxLzIwMTQBAAAAAu1aAAIAAAARMC44NTUwODg4MjEzODA0MzUATN5rlPWW3QhBdOaU9ZbdCDJDSVFBVkcuJFVTREFVRC5JUV9MQVNUU0FMRVBSSUNFLjEvMS8yMDE1LjMvMzEvMjAxNQEAAAAC7VoAAgAAABEwLjc4Njg1NzExMzQ4ODg4OQBM3muU9ZbdCCHp5pT1lt0IMkNJUUFWRy4kVVNEQVVELklRX0xBU1RTQUxFUFJJQ0UuNC8xLzIwMTUuNi8zMC8yMDE1AQAAAALtWgACAAAAETAuNzc3NDg1MTA0MzczNjI2AEzea5T1lt0I/F3nlPWW3QgyQ0lRQVZHLiRVU0RBVUQuSVFfTEFTVFNBTEVQUklDRS43LzEvMjAxNS45LzMwLzIwMTUBAAAAAu1aAAIAAAARMC43MjU3MzU3NDg5MjM5MTMATN5rlPWW3Qjf0ueU9ZbdCDRDSVFBVkcuJFVTREFVRC5JUV9MQVNUU0FMRVBSSUNFLjEwLzEvMjAxNS4xMi8zMS8yMDE1AQAAAALtWgACAAAAETAuNzIwMDk2ODk4NDAyMTc0AEzea5T1lt0Iu0folPWW3QgyQ0lRQVZHLiRVU0RBVUQuSVFfTEFTVFNBTEVQUklDRS4xLzEvMjAxNi4zLzMxLzIwMTYBAAAA</t>
  </si>
  <si>
    <t>Au1aAAIAAAARMC43MjIxNzE0NzUyOTY3MDMATN5rlPWW3QiY4+iU9ZbdCDJDSVFBVkcuJFVTREFVRC5JUV9MQVNUU0FMRVBSSUNFLjQvMS8yMDE2LjYvMzAvMjAxNgEAAAAC7VoAAgAAABEwLjc0NTUyNjAyNTkzNDA2NgBM3muU9ZbdCHNY6ZT1lt0IMkNJUUFWRy4kVVNEQVVELklRX0xBU1RTQUxFUFJJQ0UuNy8xLzIwMTYuOS8zMC8yMDE2AQAAAALtWgACAAAAETAuNzU4MTgyMzE2NDEzMDQzAEzea5T1lt0IVc3plPWW3Qg0Q0lRQVZHLiRVU0RBVUQuSVFfTEFTVFNBTEVQUklDRS4xMC8xLzIwMTYuMTIvMzEvMjAxNgEAAAAC7VoAAgAAABEwLjc0ODcxNDc0MzYxOTU2NQBM3muU9ZbdCD9C6pT1lt0IMkNJUUFWRy4kVVNEQVVELklRX0xBU1RTQUxFUFJJQ0UuMS8xLzIwMTcuMy8zMS8yMDE3AQAAAALtWgACAAAAETAuNzU3NjIxODEyMDIyMjIyAEzea5T1lt0IFN7qlPWW3QgyQ0lRQVZHLiRVU0RBVUQuSVFfTEFTVFNBTEVQUklDRS40LzEvMjAxNy42LzMwLzIwMTcBAAAAAu1aAAIAAAARMC43NTA4OTA4NTUzODQ2MTUATN5rlPWW3QgALOuU9ZbdCDJDSVFBVkcuJFVTREFVRC5JUV9MQVNUU0FMRVBSSUNFLjcvMS8yMDE3LjkvMzAvMjAxNwEAAAAC7VoAAgAAABEwLjc4OTQwMjQ2NzA2NTIxNwBM3muU9ZbdCOl565T1lt0INENJUUFWRy4kVVNEQVVELklRX0xBU1RTQUxFUFJJQ0UuMTAvMS8yMDE3LjEyLzMx</t>
  </si>
  <si>
    <t>LzIwMTcBAAAAAu1aAAIAAAARMC43Njg4Mzk3NDc5MzQ3ODMATN5rlPWW3QjUx+uU9ZbdCDJDSVFBVkcuJFVTREFVRC5JUV9MQVNUU0FMRVBSSUNFLjEvMS8yMDE4LjMvMzEvMjAxOAEAAAAC7VoAAgAAABEwLjc4NTk1ODUyNDAzMzMzMwBM3muU9ZbdCMnu65T1lt0IMkNJUUFWRy4kVVNEQVVELklRX0xBU1RTQUxFUFJJQ0UuNC8xLzIwMTguNi8zMC8yMDE4AQAAAALtWgACAAAAETAuNzU2NzMzMDgyOTg5MDExAEzea5T1lt0InorslPWW3QgyQ0lRQVZHLiRVU0RBVUQuSVFfTEFTVFNBTEVQUklDRS43LzEvMjAxOC45LzMwLzIwMTgBAAAAAu1aAAIAAAARMC43MzE0NTM3NjIzNDc4MjYATN5rlPWW3Qh9/+yU9ZbdCDRDSVFBVkcuJFVTREFVRC5JUV9MQVNUU0FMRVBSSUNFLjEwLzEvMjAxOC4xMi8zMS8yMDE4AQAAAALtWgACAAAAETAuNzE3MDU0NjIwNzE3MzkxAEzea5T1lt0INZvmlPWW3QgyQ0lRQVZHLiRVU0RBVUQuSVFfTEFTVFNBTEVQUklDRS4xLzEvMjAxOS4zLzMxLzIwMTkBAAAAAu1aAAIAAAARMC43MTIzOTU3MzQ1MTExMTEATN5rlPWW3QgWEOeU9ZbdCDJDSVFBVkcuJFVTREFVRC5JUV9MQVNUU0FMRVBSSUNFLjQvMS8yMDE5LjYvMzAvMjAxOQEAAAAC7VoAAgAAABEwLjcwMDE1Nzk2NTM3MzYyNgBM3muU9ZbdCPGE55T1lt0IMkNJUUFWRy4kVVNEQVVELklRX0xBU1RTQUxFUFJJQ0UuNy8xLzIw</t>
  </si>
  <si>
    <t>MTkuOS8zMC8yMDE5AQAAAALtWgACAAAAETAuNjg1NjM0ODM5OTM0NzgzAEzea5T1lt0I0PnnlPWW3Qg0Q0lRQVZHLiRVU0RBVUQuSVFfTEFTVFNBTEVQUklDRS4xMC8xLzIwMTkuMTIvMzEvMjAxOQEAAAAC7VoAAgAAABEwLjY4Mzc5Nzc2NDU1NDM0OABM3muU9ZbdCLVu6JT1lt0IMkNJUUFWRy4kVVNEQVVELklRX0xBU1RTQUxFUFJJQ0UuMS8xLzIwMjAuMy8zMS8yMDIwAQAAAALtWgACAAAAETAuNjU4Mjc1MTc5NDE3NTgyAEzea5T1lt0ImOPolPWW3QgyQ0lRQVZHLiRVU0RBVUQuSVFfTEFTVFNBTEVQUklDRS40LzEvMjAyMC42LzMwLzIwMjABAAAAAu1aAAIAAAARMC42NTY5NDYzODIxMjA4NzkATN5rlPWW3QhzWOmU9ZbdCDJDSVFBVkcuJFVTREFVRC5JUV9MQVNUU0FMRVBSSUNFLjcvMS8yMDIwLjkvMzAvMjAyMAEAAAAC7VoAAgAAABEwLjcxNDg2Nzg2MzkxMzA0MwBM3muU9ZbdCFb06ZT1lt0INENJUUFWRy4kVVNEQVVELklRX0xBU1RTQUxFUFJJQ0UuMTAvMS8yMDIwLjEyLzMxLzIwMjABAAAAAu1aAAIAAAARMC43MzE2MTk2MjAyOTM0NzgATN5rlPWW3Qg0aeqU9ZbdCDJDSVFBVkcuJFVTREFVRC5JUV9MQVNUU0FMRVBSSUNFLjEvMS8yMDIxLjMvMzEvMjAyMQEAAAAC7VoAAgAAABEwLjc3MjQ2ODQ1NzY4ODg4OQBM3muU9ZbdCAoF65T1lt0IMkNJUUFWRy4kVVNEQVVELklRX0xBU1RTQUxFUFJJ</t>
  </si>
  <si>
    <t>Q0UuNC8xLzIwMjEuNi8zMC8yMDIxAQAAAALtWgACAAAAETAuNzY5Nzc0NDAwNDcyNTI3AEzea5T1lt0IACzrlPWW3QgyQ0lRQVZHLiRVU0RBVUQuSVFfTEFTVFNBTEVQUklDRS43LzEvMjAyMS45LzMwLzIwMjEBAAAAAu1aAAIAAAARMC43MzQ4NDYwMzgxNDEzMDQATN5rlPWW3QjpeeuU9ZbdCDRDSVFBVkcuJFVTREFVRC5JUV9MQVNUU0FMRVBSSUNFLjEwLzEvMjAyMS4xMi8zMS8yMDIxAQAAAALtWgACAAAAETAuNzI4NTQxODcxOTM0NzgzAEzea5T1lt0I1MfrlPWW3QgyQ0lRQVZHLiRVU0RBVUQuSVFfTEFTVFNBTEVQUklDRS4xLzEvMjAyMi4zLzMxLzIwMjIBAAAAAu1aAAIAAAARMC43MjQzNTcxMjIwNTU1NTYATN5rlPWW3Qi+FeyU9ZbdCDJDSVFBVkcuJFVTREFVRC5JUV9MQVNUU0FMRVBSSUNFLjQvMS8yMDIyLjYvMzAvMjAyMgEAAAAC7VoAAgAAABEwLjcxNDY5MDAxODU4MjQxOABM3muU9ZbdCJ6K7JT1lt0IMkNJUUFWRy4kVVNEQVVELklRX0xBU1RTQUxFUFJJQ0UuNy8xLzIwMjIuOS8zMC8yMDIyAQAAAALtWgACAAAAETAuNjgzODEyMTczMzI2MDg3AEzea5T1lt0Iff/slPWW3Qg0Q0lRQVZHLiRVU0RBVUQuSVFfTEFTVFNBTEVQUklDRS4xMC8xLzIwMjIuMTIvMzEvMjAyMgEAAAAC7VoAAgAAABEwLjY1NzUyNTIzODYzMDQzNQBM3muU9ZbdCDWb5pT1lt0IMkNJUUFWRy4kVVNEQVVELklRX0xB</t>
  </si>
  <si>
    <t>U1RTQUxFUFJJQ0UuMS8xLzIwMjMuMy8zMS8yMDIzAQAAAALtWgACAAAAETAuNjgzNTM1NjcxNjQ0NDQ0AEzea5T1lt0IFhDnlPWW3QgyQ0lRQVZHLiRVU0RBVUQuSVFfTEFTVFNBTEVQUklDRS40LzEvMjAyMy42LzMwLzIwMjMBAAAAAu1aAAIAAAARMC42Njc5OTU5NzYxODY4MTMATN5rlPWW3Qjrq+eU9ZbdCDJDSVFBVkcuJFVTREFVRC5JUV9MQVNUU0FMRVBSSUNFLjcvMS8yMDIzLjkvMzAvMjAyMwEAAAAC7VoAAgAAABEwLjY1NDkzMzU0ODA1NDM0OABM3muU9ZbdCMYg6JT1lt0INENJUUFWRy4kVVNEQVVELklRX0xBU1RTQUxFUFJJQ0UuMTAvMS8yMDIzLjEyLzMxLzIwMjMBAAAAAu1aAAIAAAAQMC42NTE2MzkyNTU5ODkxMwBM3muU9ZbdCKmV6JT1lt0IMkNJUUFWRy4kVVNEQVVELklRX0xBU1RTQUxFUFJJQ0UuMS8xLzIwMjQuMy8zMS8yMDI0AQAAAALtWgACAAAAETAuNjU3NjMwMzc5MTc1ODI0AEzea5T1lt0IigrplPWW3QgyQ0lRQVZHLiRVU0RBVUQuSVFfTEFTVFNBTEVQUklDRS40LzEvMjAyNC42LzMwLzIwMjQBAAAAAu1aAAIAAAARMC42NTg5ODI2NzY2MTUzODUATN5rlPWW3Qhof+mU9ZbdCDJDSVFBVkcuJFVTREFVRC5JUV9MQVNUU0FMRVBSSUNFLjcvMS8yMDI0LjkvMzAvMjAyNAEAAAAC7VoAAgAAABEwLjY2OTk4NDk1NjU2NTIxNwBM3muU9ZbdCFb06ZT1lt0INENJUUFWRy4kVVNEQVVE</t>
  </si>
  <si>
    <t>LklRX0xBU1RTQUxFUFJJQ0UuMTAvMS8yMDI0LjEyLzMxLzIwMjQBAAAAAu1aAAIAAAAQMC42NTIwMzExMDc3NjA4NwBM3muU9ZbdCCmQ6pT1lt0IM0NJUUFWRy4kVVNEQVVELklRX0xBU1RTQUxFUFJJQ0UuMS8xLzIwMTEuMTIvMzEvMjAxMQEAAAAC7VoAAgAAABAxLjAzMzI1NTYxNjg2MDI3AEzea5T1lt0IyfLelPWW3QgzQ0lRQVZHLiRVU0RBVUQuSVFfTEFTVFNBTEVQUklDRS4xLzEvMjAxMi4xMi8zMS8yMDEyAQAAAALtWgACAAAAEDEuMDM1NzE5MjExMDUxOTEATN5rlPWW3QizPOyU9ZbdCDNDSVFBVkcuJFVTREFVRC5JUV9MQVNUU0FMRVBSSUNFLjEvMS8yMDEzLjEyLzMxLzIwMTMBAAAAAu1aAAIAAAAQMC45Njc0MDM5OTE2OTg2MwBM3muU9ZbdCJKx7JT1lt0IM0NJUUFWRy4kVVNEQVVELklRX0xBU1RTQUxFUFJJQ0UuMS8xLzIwMTQuMTIvMzEvMjAxNAEAAAAC7VoAAgAAABEwLjkwMjM2NTA4MTg0NjU3NQBM3muU9ZbdCHQm7ZT1lt0IM0NJUUFWRy4kVVNEQVVELklRX0xBU1RTQUxFUFJJQ0UuMS8xLzIwMTUuMTIvMzEvMjAxNQEAAAAC7VoAAgAAABEwLjc1MjI4NzM2NTExMjMyOQBM3muU9ZbdCCnC5pT1lt0IM0NJUUFWRy4kVVNEQVVELklRX0xBU1RTQUxFUFJJQ0UuMS8xLzIwMTYuMTIvMzEvMjAxNgEAAAAC7VoAAgAAABEwLjc0MzcwMjE5MTYyNTY4MwBM3muU9ZbdCAc355T1lt0IM0NJUUFW</t>
  </si>
  <si>
    <t>Ry4kVVNEQVVELklRX0xBU1RTQUxFUFJJQ0UuMS8xLzIwMTcuMTIvMzEvMjAxNwEAAAAC7VoAAgAAABEwLjc2Njc4MTY4NDExNTA2OQBM3muU9ZbdCOur55T1lt0IM0NJUUFWRy4kVVNEQVVELklRX0xBU1RTQUxFUFJJQ0UuMS8xLzIwMTguMTIvMzEvMjAxOAEAAAAC7VoAAgAAABAwLjc0NzU2NjQzNTQ5ODYzAEzea5T1lt0IxiDolPWW3QgzQ0lRQVZHLiRVU0RBVUQuSVFfTEFTVFNBTEVQUklDRS4xLzEvMjAxOS4xMi8zMS8yMDE5AQAAAALtWgACAAAAETAuNjk1MzkxMjA3MDM1NjE2AEzea5T1lt0IqZXolPWW3QgzQ0lRQVZHLiRVU0RBVUQuSVFfTEFTVFNBTEVQUklDRS4xLzEvMjAyMC4xMi8zMS8yMDIwAQAAAALtWgACAAAAETAuNjkwNjA2NTg2NDY3MjEzAEzea5T1lt0IigrplPWW3QgzQ0lRQVZHLiRVU0RBVUQuSVFfTEFTVFNBTEVQUklDRS4xLzEvMjAyMS4xMi8zMS8yMDIxAQAAAALtWgACAAAAETAuNzUxMjQxOTcwODU0Nzk0AEzea5T1lt0IXqbplPWW3QgzQ0lRQVZHLiRVU0RBVUQuSVFfTEFTVFNBTEVQUklDRS4xLzEvMjAyMi4xMi8zMS8yMDIyAQAAAALtWgACAAAAETAuNjk0ODgyMTIyMTI2MDI3AEzea5T1lt0ISRvqlPWW3QgzQ0lRQVZHLiRVU0RBVUQuSVFfTEFTVFNBTEVQUklDRS4xLzEvMjAyMy4xMi8zMS8yMDIzAQAAAALtWgACAAAAETAuNjY0NDEyNDQ0NTI4NzY3AEzea5T1lt0IH7fq</t>
  </si>
  <si>
    <t>lPWW3QgyQ0lRQVZHLiRVU0RJTlIuSVFfTEFTVFNBTEVQUklDRS4xLzEvMjAxMC4zLzMxLzIwMTABAAAAAu1aAAIAAAASMC4wMjE3ODMyNDg2NjY2NjY3AEzea5T1lt0I0svelPWW3QgyQ0lRQVZHLiRVU0RJTlIuSVFfTEFTVFNBTEVQUklDRS40LzEvMjAxMC42LzMwLzIwMTABAAAAAu1aAAIAAAASMC4wMjE5MjQ2NzA4NTcxNDI5AEzea5T1lt0Ip2PslPWW3QgyQ0lRQVZHLiRVU0RJTlIuSVFfTEFTVFNBTEVQUklDRS43LzEvMjAxMC45LzMwLzIwMTABAAAAAu1aAAIAAAAKMC4wMjE1MjcxMgBM3muU9ZbdCIjY7JT1lt0INENJUUFWRy4kVVNESU5SLklRX0xBU1RTQUxFUFJJQ0UuMTAvMS8yMDEwLjEyLzMxLzIwMTABAAAAAu1aAAIAAAASMC4wMjIzMTE4MTkzMzY5NTY1AEzea5T1lt0INk3mlPWW3QgyQ0lRQVZHLiRVU0RJTlIuSVFfTEFTVFNBTEVQUklDRS4xLzEvMjAxMS4zLzMxLzIwMTEBAAAAAu1aAAIAAAASMC4wMjIxMDQ0MDIxNzc3Nzc4AEzea5T1lt0IIenmlPWW3QgyQ0lRQVZHLiRVU0RJTlIuSVFfTEFTVFNBTEVQUklDRS40LzEvMjAxMS42LzMwLzIwMTEBAAAAAu1aAAIAAAASMC4wMjIzODAyMjUxMDk4OTAxAEzea5T1lt0I/F3nlPWW3QgyQ0lRQVZHLiRVU0RJTlIuSVFfTEFTVFNBTEVQUklDRS43LzEvMjAxMS45LzMwLzIwMTEBAAAAAu1aAAIAAAANMC4wMjE4ODcxNDU3NQBM3muU9ZbdCN/S</t>
  </si>
  <si>
    <t>55T1lt0INENJUUFWRy4kVVNESU5SLklRX0xBU1RTQUxFUFJJQ0UuMTAvMS8yMDExLjEyLzMxLzIwMTEBAAAAAu1aAAIAAAASMC4wMTk3MTkzNDQ3MzkxMzA0AEzea5T1lt0Iu0folPWW3QgyQ0lRQVZHLiRVU0RJTlIuSVFfTEFTVFNBTEVQUklDRS4xLzEvMjAxMi4zLzMxLzIwMTIBAAAAAu1aAAIAAAASMC4wMTk5MTA3NjQ4NTcxNDI5AEzea5T1lt0Im7zolPWW3QgyQ0lRQVZHLiRVU0RJTlIuSVFfTEFTVFNBTEVQUklDRS40LzEvMjAxMi42LzMwLzIwMTIBAAAAAu1aAAIAAAASMC4wMTg1NDQwNDk1MTY0ODM1AEzea5T1lt0IfzHplPWW3QgyQ0lRQVZHLiRVU0RJTlIuSVFfTEFTVFNBTEVQUklDRS43LzEvMjAxMi45LzMwLzIwMTIBAAAAAu1aAAIAAAASMC4wMTgxNDU2NTIwNDM0NzgzAEzea5T1lt0IXqbplPWW3Qg0Q0lRQVZHLiRVU0RJTlIuSVFfTEFTVFNBTEVQUklDRS4xMC8xLzIwMTIuMTIvMzEvMjAxMgEAAAAC7VoAAgAAABIwLjAxODQ2NDY3MzA5NzgyNjEATN5rlPWW3Qg/QuqU9ZbdCDJDSVFBVkcuJFVTRElOUi5JUV9MQVNUU0FMRVBSSUNFLjEvMS8yMDEzLjMvMzEvMjAxMwEAAAAC7VoAAgAAABIwLjAxODQ1NDkwNjI4ODg4ODkATN5rlPWW3Qgft+qU9ZbdCDJDSVFBVkcuJFVTRElOUi5JUV9MQVNUU0FMRVBSSUNFLjQvMS8yMDEzLjYvMzAvMjAxMwEAAAAC7VoAAgAAABIwLjAxNzkyNDA1OTgx</t>
  </si>
  <si>
    <t>MzE4NjgATN5rlPWW3QgKBeuU9ZbdCDJDSVFBVkcuJFVTRElOUi5JUV9MQVNUU0FMRVBSSUNFLjcvMS8yMDEzLjkvMzAvMjAxMwEAAAAC7VoAAgAAABIwLjAxNjE0MzMwMTIxNzM5MTMATN5rlPWW3Qj1UuuU9ZbdCDRDSVFBVkcuJFVTRElOUi5JUV9MQVNUU0FMRVBSSUNFLjEwLzEvMjAxMy4xMi8zMS8yMDEzAQAAAALtWgACAAAAETAuMDE2MTM0NTE5NjczOTEzAEzea5T1lt0I3qDrlPWW3QgyQ0lRQVZHLiRVU0RJTlIuSVFfTEFTVFNBTEVQUklDRS4xLzEvMjAxNC4zLzMxLzIwMTQBAAAAAu1aAAIAAAASMC4wMTYyMDA1ODA1MzMzMzMzAEzea5T1lt0Iye7rlPWW3QgyQ0lRQVZHLiRVU0RJTlIuSVFfTEFTVFNBTEVQUklDRS40LzEvMjAxNC42LzMwLzIwMTQBAAAAAu1aAAIAAAASMC4wMTY3Mjg3MTAwOTg5MDExAEzea5T1lt0Ip2PslPWW3QgyQ0lRQVZHLiRVU0RJTlIuSVFfTEFTVFNBTEVQUklDRS43LzEvMjAxNC45LzMwLzIwMTQBAAAAAu1aAAIAAAASMC4wMTY1MDgxMjY1MzI2MDg3AEzea5T1lt0IiNjslPWW3Qg0Q0lRQVZHLiRVU0RJTlIuSVFfTEFTVFNBTEVQUklDRS4xMC8xLzIwMTQuMTIvMzEvMjAxNAEAAAAC7VoAAgAAABIwLjAxNjE0MDk5MDkxMzA0MzUATN5rlPWW3QhBdOaU9ZbdCDJDSVFBVkcuJFVTRElOUi5JUV9MQVNUU0FMRVBSSUNFLjEvMS8yMDE1LjMvMzEvMjAxNQEAAAAC7VoAAgAA</t>
  </si>
  <si>
    <t>ABIwLjAxNjA2ODUxMTM1NTU1NTYATN5rlPWW3Qgh6eaU9ZbdCDJDSVFBVkcuJFVTRElOUi5JUV9MQVNUU0FMRVBSSUNFLjQvMS8yMDE1LjYvMzAvMjAxNQEAAAAC7VoAAgAAABIwLjAxNTc3MDY2NjcxNDI4NTcATN5rlPWW3Qj8XeeU9ZbdCDJDSVFBVkcuJFVTRElOUi5JUV9MQVNUU0FMRVBSSUNFLjcvMS8yMDE1LjkvMzAvMjAxNQEAAAAC7VoAAgAAABIwLjAxNTM5MzcxMDQzNDc4MjYATN5rlPWW3QjQ+eeU9ZbdCDRDSVFBVkcuJFVTRElOUi5JUV9MQVNUU0FMRVBSSUNFLjEwLzEvMjAxNS4xMi8zMS8yMDE1AQAAAALtWgACAAAAEjAuMDE1MTc0MTE3OTM0NzgyNgBM3muU9ZbdCLVu6JT1lt0IMkNJUUFWRy4kVVNESU5SLklRX0xBU1RTQUxFUFJJQ0UuMS8xLzIwMTYuMy8zMS8yMDE2AQAAAALtWgACAAAAEjAuMDE0ODI0MDgzMTQyODU3MQBM3muU9ZbdCJjj6JT1lt0IMkNJUUFWRy4kVVNESU5SLklRX0xBU1RTQUxFUFJJQ0UuNC8xLzIwMTYuNi8zMC8yMDE2AQAAAALtWgACAAAAEjAuMDE0OTQ3OTYxMTIwODc5MQBM3muU9ZbdCHNY6ZT1lt0IMkNJUUFWRy4kVVNESU5SLklRX0xBU1RTQUxFUFJJQ0UuNy8xLzIwMTYuOS8zMC8yMDE2AQAAAALtWgACAAAAEjAuMDE0OTMzMTg4MzE1MjE3NABM3muU9ZbdCFXN6ZT1lt0INENJUUFWRy4kVVNESU5SLklRX0xBU1RTQUxFUFJJQ0UuMTAvMS8yMDE2LjEyLzMx</t>
  </si>
  <si>
    <t>LzIwMTYBAAAAAu1aAAIAAAASMC4wMTQ4MzA2MjU3ODI2MDg3AEzea5T1lt0IP0LqlPWW3QgyQ0lRQVZHLiRVU0RJTlIuSVFfTEFTVFNBTEVQUklDRS4xLzEvMjAxNy4zLzMxLzIwMTcBAAAAAu1aAAIAAAASMC4wMTQ5MzUyNTkyMTExMTExAEzea5T1lt0IFN7qlPWW3QgyQ0lRQVZHLiRVU0RJTlIuSVFfTEFTVFNBTEVQUklDRS40LzEvMjAxNy42LzMwLzIwMTcBAAAAAu1aAAIAAAASMC4wMTU1MTA5MjA1Mjc0NzI1AEzea5T1lt0IACzrlPWW3QgyQ0lRQVZHLiRVU0RJTlIuSVFfTEFTVFNBTEVQUklDRS43LzEvMjAxNy45LzMwLzIwMTcBAAAAAu1aAAIAAAASMC4wMTU1NTY2NjE4MTUyMTc0AEzea5T1lt0I6XnrlPWW3Qg0Q0lRQVZHLiRVU0RJTlIuSVFfTEFTVFNBTEVQUklDRS4xMC8xLzIwMTcuMTIvMzEvMjAxNwEAAAAC7VoAAgAAABIwLjAxNTQ0OTE1MDA1NDM0NzgATN5rlPWW3QjUx+uU9ZbdCDJDSVFBVkcuJFVTRElOUi5JUV9MQVNUU0FMRVBSSUNFLjEvMS8yMDE4LjMvMzEvMjAxOAEAAAAC7VoAAgAAABIwLjAxNTUzMzI4ODMxMTExMTEATN5rlPWW3Qi+FeyU9ZbdCDJDSVFBVkcuJFVTRElOUi5JUV9MQVNUU0FMRVBSSUNFLjQvMS8yMDE4LjYvMzAvMjAxOAEAAAAC7VoAAgAAABIwLjAxNDkyNTc2NjI3NDcyNTMATN5rlPWW3QieiuyU9ZbdCDJDSVFBVkcuJFVTRElOUi5JUV9MQVNUU0FMRVBSSUNF</t>
  </si>
  <si>
    <t>LjcvMS8yMDE4LjkvMzAvMjAxOAEAAAAC7VoAAgAAABIwLjAxNDI3NDY1Mzg2OTU2NTIATN5rlPWW3Qh9/+yU9ZbdCDRDSVFBVkcuJFVTRElOUi5JUV9MQVNUU0FMRVBSSUNFLjEwLzEvMjAxOC4xMi8zMS8yMDE4AQAAAALtWgACAAAAEjAuMDEzODg3OTI5NDEzMDQzNQBM3muU9ZbdCDWb5pT1lt0IMkNJUUFWRy4kVVNESU5SLklRX0xBU1RTQUxFUFJJQ0UuMS8xLzIwMTkuMy8zMS8yMDE5AQAAAALtWgACAAAAEjAuMDE0MTk0ODcxMTg4ODg4OQBM3muU9ZbdCBYQ55T1lt0IMkNJUUFWRy4kVVNESU5SLklRX0xBU1RTQUxFUFJJQ0UuNC8xLzIwMTkuNi8zMC8yMDE5AQAAAALtWgACAAAAEjAuMDE0MzgxNzUzMTg2ODEzMgBM3muU9ZbdCPGE55T1lt0IMkNJUUFWRy4kVVNESU5SLklRX0xBU1RTQUxFUFJJQ0UuNy8xLzIwMTkuOS8zMC8yMDE5AQAAAALtWgACAAAAEjAuMDE0MjE1NzU5NjYzMDQzNQBM3muU9ZbdCND555T1lt0INENJUUFWRy4kVVNESU5SLklRX0xBU1RTQUxFUFJJQ0UuMTAvMS8yMDE5LjEyLzMxLzIwMTkBAAAAAu1aAAIAAAASMC4wMTQwNDIxNDc2NDEzMDQzAEzea5T1lt0ItW7olPWW3QgyQ0lRQVZHLiRVU0RJTlIuSVFfTEFTVFNBTEVQUklDRS4xLzEvMjAyMC4zLzMxLzIwMjABAAAAAu1aAAIAAAARMC4wMTM3OTk3Njg5NTYwNDQATN5rlPWW3QiY4+iU9ZbdCDJDSVFBVkcuJFVTRElOUi5J</t>
  </si>
  <si>
    <t>UV9MQVNUU0FMRVBSSUNFLjQvMS8yMDIwLjYvMzAvMjAyMAEAAAAC7VoAAgAAABIwLjAxMzE3NzQxOTEwOTg5MDEATN5rlPWW3QhzWOmU9ZbdCDJDSVFBVkcuJFVTRElOUi5JUV9MQVNUU0FMRVBSSUNFLjcvMS8yMDIwLjkvMzAvMjAyMAEAAAAC7VoAAgAAABIwLjAxMzQ1MjU0ODUzMjYwODcATN5rlPWW3QhW9OmU9ZbdCDRDSVFBVkcuJFVTRElOUi5JUV9MQVNUU0FMRVBSSUNFLjEwLzEvMjAyMC4xMi8zMS8yMDIwAQAAAALtWgACAAAAEjAuMDEzNTUxMjE5OTY3MzkxMwBM3muU9ZbdCDRp6pT1lt0IMkNJUUFWRy4kVVNESU5SLklRX0xBU1RTQUxFUFJJQ0UuMS8xLzIwMjEuMy8zMS8yMDIxAQAAAALtWgACAAAAEjAuMDEzNzEyNTUwMTIyMjIyMgBM3muU9ZbdCAoF65T1lt0IMkNJUUFWRy4kVVNESU5SLklRX0xBU1RTQUxFUFJJQ0UuNC8xLzIwMjEuNi8zMC8yMDIxAQAAAALtWgACAAAAEjAuMDEzNTYwOTUzNDYxNTM4NQBM3muU9ZbdCPVS65T1lt0IMkNJUUFWRy4kVVNESU5SLklRX0xBU1RTQUxFUFJJQ0UuNy8xLzIwMjEuOS8zMC8yMDIxAQAAAALtWgACAAAAEjAuMDEzNDk4NjgyMDk3ODI2MQBM3muU9ZbdCOl565T1lt0INENJUUFWRy4kVVNESU5SLklRX0xBU1RTQUxFUFJJQ0UuMTAvMS8yMDIxLjEyLzMxLzIwMjEBAAAAAu1aAAIAAAASMC4wMTMzNDM4NTU0NjczOTEzAEzea5T1lt0I1MfrlPWW3Qgy</t>
  </si>
  <si>
    <t>Q0lRQVZHLiRVU0RJTlIuSVFfTEFTVFNBTEVQUklDRS4xLzEvMjAyMi4zLzMxLzIwMjIBAAAAAu1aAAIAAAASMC4wMTMyOTUwODM0MzMzMzMzAEzea5T1lt0IvhXslPWW3QgyQ0lRQVZHLiRVU0RJTlIuSVFfTEFTVFNBTEVQUklDRS40LzEvMjAyMi42LzMwLzIwMjIBAAAAAu1aAAIAAAASMC4wMTI5NTQzMzI1NzE0Mjg2AEzea5T1lt0InorslPWW3QgyQ0lRQVZHLiRVU0RJTlIuSVFfTEFTVFNBTEVQUklDRS43LzEvMjAyMi45LzMwLzIwMjIBAAAAAu1aAAIAAAASMC4wMTI1MzkzNzU5MDIxNzM5AEzea5T1lt0IdCbtlPWW3Qg0Q0lRQVZHLiRVU0RJTlIuSVFfTEFTVFNBTEVQUklDRS4xMC8xLzIwMjIuMTIvMzEvMjAyMgEAAAAC7VoAAgAAABIwLjAxMjE3NjUxMTY0MTMwNDMATN5rlPWW3Qg1m+aU9ZbdCDJDSVFBVkcuJFVTRElOUi5JUV9MQVNUU0FMRVBSSUNFLjEvMS8yMDIzLjMvMzEvMjAyMwEAAAAC7VoAAgAAABIwLjAxMjE2NzExNTUxMTExMTEATN5rlPWW3QgWEOeU9ZbdCDJDSVFBVkcuJFVTRElOUi5JUV9MQVNUU0FMRVBSSUNFLjQvMS8yMDIzLjYvMzAvMjAyMwEAAAAC7VoAAgAAABIwLjAxMjE3MjAwMzY4MTMxODcATN5rlPWW3Qjrq+eU9ZbdCDJDSVFBVkcuJFVTRElOUi5JUV9MQVNUU0FMRVBSSUNFLjcvMS8yMDIzLjkvMzAvMjAyMwEAAAAC7VoAAgAAABIwLjAxMjA5NTk3MjA1NDM0NzgATN5r</t>
  </si>
  <si>
    <t>lPWW3QjGIOiU9ZbdCDRDSVFBVkcuJFVTRElOUi5JUV9MQVNUU0FMRVBSSUNFLjEwLzEvMjAyMy4xMi8zMS8yMDIzAQAAAALtWgACAAAAEjAuMDEyMDEzNjMxMzU4Njk1NwBM3muU9ZbdCKmV6JT1lt0IMkNJUUFWRy4kVVNESU5SLklRX0xBU1RTQUxFUFJJQ0UuMS8xLzIwMjQuMy8zMS8yMDI0AQAAAALtWgACAAAAEjAuMDEyMDQyNTQwMDU0OTQ1MQBM3muU9ZbdCIoK6ZT1lt0IMkNJUUFWRy4kVVNESU5SLklRX0xBU1RTQUxFUFJJQ0UuNC8xLzIwMjQuNi8zMC8yMDI0AQAAAALtWgACAAAAEjAuMDExOTg3NjU1NDUwNTQ5NQBM3muU9ZbdCGh/6ZT1lt0IMkNJUUFWRy4kVVNESU5SLklRX0xBU1RTQUxFUFJJQ0UuNy8xLzIwMjQuOS8zMC8yMDI0AQAAAALtWgACAAAAEjAuMDExOTM4ODY1ODQ3ODI2MQBM3muU9ZbdCFb06ZT1lt0INENJUUFWRy4kVVNESU5SLklRX0xBU1RTQUxFUFJJQ0UuMTAvMS8yMDI0LjEyLzMxLzIwMjQBAAAAAu1aAAIAAAASMC4wMTE4Mzk1OTA2NjMwNDM1AEzea5T1lt0IKZDqlPWW3QgzQ0lRQVZHLiRVU0RJTlIuSVFfTEFTVFNBTEVQUklDRS4xLzEvMjAxMS4xMi8zMS8yMDExAQAAAALtWgACAAAAEjAuMDIxNTE3MjQzMzA0MTA5NgBM3muU9ZbdCCC73ZT1lt0IM0NJUUFWRy4kVVNESU5SLklRX0xBU1RTQUxFUFJJQ0UuMS8xLzIwMTIuMTIvMzEvMjAxMgEAAAAC7VoAAgAAABIwLjAx</t>
  </si>
  <si>
    <t>ODc2Mzc2NTA4NDY5OTUATN5rlPWW3QizPOyU9ZbdCDNDSVFBVkcuJFVTRElOUi5JUV9MQVNUU0FMRVBSSUNFLjEvMS8yMDEzLjEyLzMxLzIwMTMBAAAAAu1aAAIAAAASMC4wMTcxNTUwNDI1NTA2ODQ5AEzea5T1lt0IkrHslPWW3QgzQ0lRQVZHLiRVU0RJTlIuSVFfTEFTVFNBTEVQUklDRS4xLzEvMjAxNC4xMi8zMS8yMDE0AQAAAALtWgACAAAAEjAuMDE2Mzk0NzQ5Nzg2MzAxNABM3muU9ZbdCHQm7ZT1lt0IM0NJUUFWRy4kVVNESU5SLklRX0xBU1RTQUxFUFJJQ0UuMS8xLzIwMTUuMTIvMzEvMjAxNQEAAAAC7VoAAgAAABIwLjAxNTU5ODczMTI0MTA5NTkATN5rlPWW3QgpwuaU9ZbdCDNDSVFBVkcuJFVTRElOUi5JUV9MQVNUU0FMRVBSSUNFLjEvMS8yMDE2LjEyLzMxLzIwMTYBAAAAAu1aAAIAAAASMC4wMTQ4ODM5NTMzNDY5OTQ1AEzea5T1lt0IBzfnlPWW3QgzQ0lRQVZHLiRVU0RJTlIuSVFfTEFTVFNBTEVQUklDRS4xLzEvMjAxNy4xMi8zMS8yMDE3AQAAAALtWgACAAAAEjAuMDE1MzY0OTM2NDA4MjE5MgBM3muU9ZbdCOur55T1lt0IM0NJUUFWRy4kVVNESU5SLklRX0xBU1RTQUxFUFJJQ0UuMS8xLzIwMTguMTIvMzEvMjAxOAEAAAAC7VoAAgAAABIwLjAxNDY0OTg1ODQ2ODQ5MzIATN5rlPWW3QjGIOiU9ZbdCDNDSVFBVkcuJFVTRElOUi5JUV9MQVNUU0FMRVBSSUNFLjEvMS8yMDE5LjEyLzMxLzIw</t>
  </si>
  <si>
    <t>MTkBAAAAAu1aAAIAAAASMC4wMTQyMDgyMzQwMjQ2NTc1AEzea5T1lt0IqZXolPWW3QgzQ0lRQVZHLiRVU0RJTlIuSVFfTEFTVFNBTEVQUklDRS4xLzEvMjAyMC4xMi8zMS8yMDIwAQAAAALtWgACAAAAEjAuMDEzNDk1Mjc1NDUzNTUxOQBM3muU9ZbdCH8x6ZT1lt0IM0NJUUFWRy4kVVNESU5SLklRX0xBU1RTQUxFUFJJQ0UuMS8xLzIwMjEuMTIvMzEvMjAyMQEAAAAC7VoAAgAAABIwLjAxMzUyNzkxNzA3Mzk3MjYATN5rlPWW3QhepumU9ZbdCDNDSVFBVkcuJFVTRElOUi5JUV9MQVNUU0FMRVBSSUNFLjEvMS8yMDIyLjEyLzMxLzIwMjIBAAAAAu1aAAIAAAASMC4wMTI3Mzc3MDgwMTkxNzgxAEzea5T1lt0ISRvqlPWW3QgzQ0lRQVZHLiRVU0RJTlIuSVFfTEFTVFNBTEVQUklDRS4xLzEvMjAyMy4xMi8zMS8yMDIzAQAAAALtWgACAAAAETAuMDEyMTExNzE1NzM5NzI2AEzea5T1lt0IH7fqlPWW3QgyQ0lRQVZHLiRVU0RCUkwuSVFfTEFTVFNBTEVQUklDRS4xLzEvMjAxMC4zLzMxLzIwMTABAAAAAu1aAAIAAAARMC41NTUxNTQ5NjQzNTU1NTYATN5rlPWW3Qg1bd2U9ZbdCDJDSVFBVkcuJFVTREJSTC5JUV9MQVNUU0FMRVBSSUNFLjQvMS8yMDEwLjYvMzAvMjAxMAEAAAAC7VoAAgAAABEwLjU1NzkwNzk2ODIzMDc2OQBM3muU9ZbdCKdj7JT1lt0IMkNJUUFWRy4kVVNEQlJMLklRX0xBU1RTQUxFUFJJQ0UuNy8x</t>
  </si>
  <si>
    <t>LzIwMTAuOS8zMC8yMDEwAQAAAALtWgACAAAAETAuNTcxNjQ2MjI2NjczOTEzAEzea5T1lt0IiNjslPWW3Qg0Q0lRQVZHLiRVU0RCUkwuSVFfTEFTVFNBTEVQUklDRS4xMC8xLzIwMTAuMTIvMzEvMjAxMAEAAAAC7VoAAgAAABAwLjU4OTEyMDE4OTIzOTEzAEzea5T1lt0IQXTmlPWW3QgyQ0lRQVZHLiRVU0RCUkwuSVFfTEFTVFNBTEVQUklDRS4xLzEvMjAxMS4zLzMxLzIwMTEBAAAAAu1aAAIAAAARMC41OTk5NDY5MTgyMzMzMzMATN5rlPWW3Qgh6eaU9ZbdCDJDSVFBVkcuJFVTREJSTC5JUV9MQVNUU0FMRVBSSUNFLjQvMS8yMDExLjYvMzAvMjAxMQEAAAAC7VoAAgAAABEwLjYyNzEyNjQ4MjUxNjQ4NABM3muU9ZbdCPxd55T1lt0IMkNJUUFWRy4kVVNEQlJMLklRX0xBU1RTQUxFUFJJQ0UuNy8xLzIwMTEuOS8zMC8yMDExAQAAAALtWgACAAAAETAuNjE0NTU0MTk2OTQ1NjUyAEzea5T1lt0I39LnlPWW3Qg0Q0lRQVZHLiRVU0RCUkwuSVFfTEFTVFNBTEVQUklDRS4xMC8xLzIwMTEuMTIvMzEvMjAxMQEAAAAC7VoAAgAAABEwLjU1NjQwMzYwNTk1NjUyMgBdBWyU9ZbdCLtH6JT1lt0IMkNJUUFWRy4kVVNEQlJMLklRX0xBU1RTQUxFUFJJQ0UuMS8xLzIwMTIuMy8zMS8yMDEyAQAAAALtWgACAAAAETAuNTY2MTczMTc4NjQ4MzUyAF0FbJT1lt0Im7zolPWW3QgyQ0lRQVZHLiRVU0RCUkwuSVFfTEFTVFNBTEVQ</t>
  </si>
  <si>
    <t>UklDRS40LzEvMjAxMi42LzMwLzIwMTIBAAAAAu1aAAIAAAAQMC41MTEyNTI2MDg3ODAyMgBdBWyU9ZbdCH8x6ZT1lt0IMkNJUUFWRy4kVVNEQlJMLklRX0xBU1RTQUxFUFJJQ0UuNy8xLzIwMTIuOS8zMC8yMDEyAQAAAALtWgACAAAAETAuNDkyOTYyNzMwOTc4MjYxAF0FbJT1lt0IXqbplPWW3Qg0Q0lRQVZHLiRVU0RCUkwuSVFfTEFTVFNBTEVQUklDRS4xMC8xLzIwMTIuMTIvMzEvMjAxMgEAAAAC7VoAAgAAABEwLjQ4NTk2NzM3OTA5NzgyNgBdBWyU9ZbdCD9C6pT1lt0IMkNJUUFWRy4kVVNEQlJMLklRX0xBU1RTQUxFUFJJQ0UuMS8xLzIwMTMuMy8zMS8yMDEzAQAAAALtWgACAAAAETAuNTAwNjc2ODQ2MDMzMzMzAF0FbJT1lt0IFN7qlPWW3QgyQ0lRQVZHLiRVU0RCUkwuSVFfTEFTVFNBTEVQUklDRS40LzEvMjAxMy42LzMwLzIwMTMBAAAAAu1aAAIAAAARMC40ODM5MDgzNjI5MDEwOTkAXQVslPWW3QgKBeuU9ZbdCDJDSVFBVkcuJFVTREJSTC5JUV9MQVNUU0FMRVBSSUNFLjcvMS8yMDEzLjkvMzAvMjAxMwEAAAAC7VoAAgAAABEwLjQzNzIxMDUwMjU2NTIxNwBdBWyU9ZbdCPVS65T1lt0INENJUUFWRy4kVVNEQlJMLklRX0xBU1RTQUxFUFJJQ0UuMTAvMS8yMDEzLjEyLzMxLzIwMTMBAAAAAu1aAAIAAAARMC40MzkyNjI3MTI5NTY1MjIAXQVslPWW3QjeoOuU9ZbdCDJDSVFBVkcuJFVTREJSTC5JUV9M</t>
  </si>
  <si>
    <t>QVNUU0FMRVBSSUNFLjEvMS8yMDE0LjMvMzEvMjAxNAEAAAAC7VoAAgAAABEwLjQyMzQxMzUwMTk2NjY2NwBdBWyU9ZbdCMnu65T1lt0IMkNJUUFWRy4kVVNEQlJMLklRX0xBU1RTQUxFUFJJQ0UuNC8xLzIwMTQuNi8zMC8yMDE0AQAAAALtWgACAAAAETAuNDQ4MzgwMDkyNTQ5NDUxAF0FbJT1lt0Ip2PslPWW3QgyQ0lRQVZHLiRVU0RCUkwuSVFfTEFTVFNBTEVQUklDRS43LzEvMjAxNC45LzMwLzIwMTQBAAAAAu1aAAIAAAARMC40Mzg3NzczNzQzMjYwODcAXQVslPWW3QiI2OyU9ZbdCDRDSVFBVkcuJFVTREJSTC5JUV9MQVNUU0FMRVBSSUNFLjEwLzEvMjAxNC4xMi8zMS8yMDE0AQAAAALtWgACAAAAETAuMzkyMTQyMDAyNjg0NzgzAF0FbJT1lt0IQXTmlPWW3QgyQ0lRQVZHLiRVU0RCUkwuSVFfTEFTVFNBTEVQUklDRS4xLzEvMjAxNS4zLzMxLzIwMTUBAAAAAu1aAAIAAAARMC4zNTAyMTAwODc1NDQ0NDQAXQVslPWW3Qgh6eaU9ZbdCDJDSVFBVkcuJFVTREJSTC5JUV9MQVNUU0FMRVBSSUNFLjQvMS8yMDE1LjYvMzAvMjAxNQEAAAAC7VoAAgAAABEwLjMyNDk4MDU3OTEyMDg3OQBdBWyU9ZbdCPGE55T1lt0IMkNJUUFWRy4kVVNEQlJMLklRX0xBU1RTQUxFUFJJQ0UuNy8xLzIwMTUuOS8zMC8yMDE1AQAAAALtWgACAAAAETAuMjg0MzA0MDUzNzA2NTIyAF0FbJT1lt0I0PnnlPWW3Qg0Q0lRQVZHLiRVU0RC</t>
  </si>
  <si>
    <t>UkwuSVFfTEFTVFNBTEVQUklDRS4xMC8xLzIwMTUuMTIvMzEvMjAxNQEAAAAC7VoAAgAAABEwLjI2MDA4NDE2MTMyNjA4NwBdBWyU9ZbdCLVu6JT1lt0IMkNJUUFWRy4kVVNEQlJMLklRX0xBU1RTQUxFUFJJQ0UuMS8xLzIwMTYuMy8zMS8yMDE2AQAAAALtWgACAAAAETAuMjU2ODI0MjQyMDk4OTAxAF0FbJT1lt0ImOPolPWW3QgyQ0lRQVZHLiRVU0RCUkwuSVFfTEFTVFNBTEVQUklDRS40LzEvMjAxNi42LzMwLzIwMTYBAAAAAu1aAAIAAAARMC4yODQ4MjU2NTE2NDgzNTIAXQVslPWW3QhzWOmU9ZbdCDJDSVFBVkcuJFVTREJSTC5JUV9MQVNUU0FMRVBSSUNFLjcvMS8yMDE2LjkvMzAvMjAxNgEAAAAC7VoAAgAAABEwLjMwODMyNDk0MDk0NTY1MgBdBWyU9ZbdCFXN6ZT1lt0INENJUUFWRy4kVVNEQlJMLklRX0xBU1RTQUxFUFJJQ0UuMTAvMS8yMDE2LjEyLzMxLzIwMTYBAAAAAu1aAAIAAAAQMC4zMDMyOTY0NzM5ODkxMwA9CGyU9ZbdCD9C6pT1lt0IMkNJUUFWRy4kVVNEQlJMLklRX0xBU1RTQUxFUFJJQ0UuMS8xLzIwMTcuMy8zMS8yMDE3AQAAAALtWgACAAAADDAuMzE3OTI1OTExNgA9CGyU9ZbdCBTe6pT1lt0IMkNJUUFWRy4kVVNEQlJMLklRX0xBU1RTQUxFUFJJQ0UuNC8xLzIwMTcuNi8zMC8yMDE3AQAAAALtWgACAAAAETAuMzExMjgyMTEwMjQxNzU4AD0IbJT1lt0IACzrlPWW3QgyQ0lRQVZHLiRV</t>
  </si>
  <si>
    <t>U0RCUkwuSVFfTEFTVFNBTEVQUklDRS43LzEvMjAxNy45LzMwLzIwMTcBAAAAAu1aAAIAAAARMC4zMTYyMzc0MTM4ODA0MzUAPQhslPWW3QjpeeuU9ZbdCDRDSVFBVkcuJFVTREJSTC5JUV9MQVNUU0FMRVBSSUNFLjEwLzEvMjAxNy4xMi8zMS8yMDE3AQAAAALtWgACAAAAETAuMzA3NjY1MTk1MjA2NTIyAD0IbJT1lt0I1MfrlPWW3QgyQ0lRQVZHLiRVU0RCUkwuSVFfTEFTVFNBTEVQUklDRS4xLzEvMjAxOC4zLzMxLzIwMTgBAAAAAu1aAAIAAAARMC4zMDgwNTU4NTU0NTU1NTYAPQhslPWW3Qi+FeyU9ZbdCDJDSVFBVkcuJFVTREJSTC5JUV9MQVNUU0FMRVBSSUNFLjQvMS8yMDE4LjYvMzAvMjAxOAEAAAAC7VoAAgAAABEwLjI3NzkyNDY4NTI3NDcyNQA9CGyU9ZbdCJ6K7JT1lt0IMkNJUUFWRy4kVVNEQlJMLklRX0xBU1RTQUxFUFJJQ0UuNy8xLzIwMTguOS8zMC8yMDE4AQAAAALtWgACAAAAETAuMjUzNzExNTQ3NTk3ODI2AD0IbJT1lt0Iff/slPWW3Qg0Q0lRQVZHLiRVU0RCUkwuSVFfTEFTVFNBTEVQUklDRS4xMC8xLzIwMTguMTIvMzEvMjAxOAEAAAAC7VoAAgAAABEwLjI2MjY3NjkxMDMxNTIxNwA9CGyU9ZbdCDWb5pT1lt0IMkNJUUFWRy4kVVNEQlJMLklRX0xBU1RTQUxFUFJJQ0UuMS8xLzIwMTkuMy8zMS8yMDE5AQAAAALtWgACAAAAETAuMjY1MzE5NDAzNTQ0NDQ0AD0IbJT1lt0IFhDnlPWW3Qgy</t>
  </si>
  <si>
    <t>Q0lRQVZHLiRVU0RCUkwuSVFfTEFTVFNBTEVQUklDRS40LzEvMjAxOS42LzMwLzIwMTkBAAAAAu1aAAIAAAARMC4yNTUzMDQ4MDc5NjcwMzMAPQhslPWW3QjxhOeU9ZbdCDJDSVFBVkcuJFVTREJSTC5JUV9MQVNUU0FMRVBSSUNFLjcvMS8yMDE5LjkvMzAvMjAxOQEAAAAC7VoAAgAAABEwLjI1MjM2NzYwMTYzMDQzNQA9CGyU9ZbdCND555T1lt0INENJUUFWRy4kVVNEQlJMLklRX0xBU1RTQUxFUFJJQ0UuMTAvMS8yMDE5LjEyLzMxLzIwMTkBAAAAAu1aAAIAAAARMC4yNDMxMzE4OTE5NDU2NTIAPQhslPWW3Qi1buiU9ZbdCDJDSVFBVkcuJFVTREJSTC5JUV9MQVNUU0FMRVBSSUNFLjEvMS8yMDIwLjMvMzEvMjAyMAEAAAAC7VoAAgAAABEwLjIyNTY2NzI0Nzc0NzI1MwA9CGyU9ZbdCJjj6JT1lt0IMkNJUUFWRy4kVVNEQlJMLklRX0xBU1RTQUxFUFJJQ0UuNC8xLzIwMjAuNi8zMC8yMDIwAQAAAALtWgACAAAAETAuMTg2MTIwOTgxMjYzNzM2AD0IbJT1lt0IaH/plPWW3QgyQ0lRQVZHLiRVU0RCUkwuSVFfTEFTVFNBTEVQUklDRS43LzEvMjAyMC45LzMwLzIwMjABAAAAAu1aAAIAAAARMC4xODYxNzU3OTkyMTczOTEAPQhslPWW3QhW9OmU9ZbdCDRDSVFBVkcuJFVTREJSTC5JUV9MQVNUU0FMRVBSSUNFLjEwLzEvMjAyMC4xMi8zMS8yMDIwAQAAAALtWgACAAAAETAuMTg1NDQ1NTc0MDIxNzM5AD0IbJT1lt0I</t>
  </si>
  <si>
    <t>NGnqlPWW3QgyQ0lRQVZHLiRVU0RCUkwuSVFfTEFTVFNBTEVQUklDRS4xLzEvMjAyMS4zLzMxLzIwMjEBAAAAAu1aAAIAAAARMC4xODMwNjYwODg0NDQ0NDQAPQhslPWW3QgKBeuU9ZbdCDJDSVFBVkcuJFVTREJSTC5JUV9MQVNUU0FMRVBSSUNFLjQvMS8yMDIxLjYvMzAvMjAyMQEAAAAC7VoAAgAAABEwLjE4ODkzNjcyMTgyNDE3NgA9CGyU9ZbdCPVS65T1lt0IMkNJUUFWRy4kVVNEQlJMLklRX0xBU1RTQUxFUFJJQ0UuNy8xLzIwMjEuOS8zMC8yMDIxAQAAAALtWgACAAAAETAuMTkxNDI4Mzg4MDY1MjE3AD0IbJT1lt0I6XnrlPWW3Qg0Q0lRQVZHLiRVU0RCUkwuSVFfTEFTVFNBTEVQUklDRS4xMC8xLzIwMjEuMTIvMzEvMjAyMQEAAAAC7VoAAgAAABAwLjE3OTE2ODk3OTc2MDg3AD0IbJT1lt0I1MfrlPWW3QgyQ0lRQVZHLiRVU0RCUkwuSVFfTEFTVFNBTEVQUklDRS4xLzEvMjAyMi4zLzMxLzIwMjIBAAAAAu1aAAIAAAARMC4xOTE0ODgxOTA4NjY2NjcAPQhslPWW3Qi+FeyU9ZbdCDJDSVFBVkcuJFVTREJSTC5JUV9MQVNUU0FMRVBSSUNFLjQvMS8yMDIyLjYvMzAvMjAyMgEAAAAC7VoAAgAAABEwLjIwMzY0OTYzODcyNTI3NQA9CGyU9ZbdCJKx7JT1lt0IMkNJUUFWRy4kVVNEQlJMLklRX0xBU1RTQUxFUFJJQ0UuNy8xLzIwMjIuOS8zMC8yMDIyAQAAAALtWgACAAAADDAuMTkwNzQ4MDYwNQA9CGyU9Zbd</t>
  </si>
  <si>
    <t>CHQm7ZT1lt0INENJUUFWRy4kVVNEQlJMLklRX0xBU1RTQUxFUFJJQ0UuMTAvMS8yMDIyLjEyLzMxLzIwMjIBAAAAAu1aAAIAAAARMC4xOTAyNDUxNzAzOTEzMDQAPQhslPWW3Qg1m+aU9ZbdCDJDSVFBVkcuJFVTREJSTC5JUV9MQVNUU0FMRVBSSUNFLjEvMS8yMDIzLjMvMzEvMjAyMwEAAAAC7VoAAgAAABEwLjE5MjQ5MjkyNjkzMzMzMwA9CGyU9ZbdCAc355T1lt0IMkNJUUFWRy4kVVNEQlJMLklRX0xBU1RTQUxFUFJJQ0UuNC8xLzIwMjMuNi8zMC8yMDIzAQAAAALtWgACAAAAETAuMjAxOTQ5MjA1ODEzMTg3AD0IbJT1lt0I66vnlPWW3QgyQ0lRQVZHLiRVU0RCUkwuSVFfTEFTVFNBTEVQUklDRS43LzEvMjAyMy45LzMwLzIwMjMBAAAAAu1aAAIAAAARMC4yMDUwNTExOTY0NDU2NTIAPQhslPWW3QjGIOiU9ZbdCDRDSVFBVkcuJFVTREJSTC5JUV9MQVNUU0FMRVBSSUNFLjEwLzEvMjAyMy4xMi8zMS8yMDIzAQAAAALtWgACAAAAETAuMjAyMDIxMjIwNjczOTEzAD0IbJT1lt0IqZXolPWW3QgyQ0lRQVZHLiRVU0RCUkwuSVFfTEFTVFNBTEVQUklDRS4xLzEvMjAyNC4zLzMxLzIwMjQBAAAAAu1aAAIAAAARMC4yMDE5OTUxMjM3MDMyOTcAPQhslPWW3QiKCumU9ZbdCDJDSVFBVkcuJFVTREJSTC5JUV9MQVNUU0FMRVBSSUNFLjQvMS8yMDI0LjYvMzAvMjAyNAEAAAAC7VoAAgAAABEwLjE5MTg4MTIzODg2ODEz</t>
  </si>
  <si>
    <t>MgA9CGyU9ZbdCGh/6ZT1lt0IMkNJUUFWRy4kVVNEQlJMLklRX0xBU1RTQUxFUFJJQ0UuNy8xLzIwMjQuOS8zMC8yMDI0AQAAAALtWgACAAAAETAuMTgwMzMwNjY0MTYzMDQzAD0IbJT1lt0IVvTplPWW3Qg0Q0lRQVZHLiRVU0RCUkwuSVFfTEFTVFNBTEVQUklDRS4xMC8xLzIwMjQuMTIvMzEvMjAyNAEAAAAC7VoAAgAAABEwLjE3MTIwMTEyNTE5NTY1MgA9CGyU9ZbdCCmQ6pT1lt0IM0NJUUFWRy4kVVNEQlJMLklRX0xBU1RTQUxFUFJJQ0UuMS8xLzIwMTEuMTIvMzEvMjAxMQEAAAAC7VoAAgAAABEwLjU5OTQyOTcyNzE2OTg2MwA9CGyU9ZbdCGKC3JT1lt0IM0NJUUFWRy4kVVNEQlJMLklRX0xBU1RTQUxFUFJJQ0UuMS8xLzIwMTIuMTIvMzEvMjAxMgEAAAAC7VoAAgAAABEwLjUxMzk1NDQxNzQzOTg5MQAeDWyU9ZbdCLM87JT1lt0IM0NJUUFWRy4kVVNEQlJMLklRX0xBU1RTQUxFUFJJQ0UuMS8xLzIwMTMuMTIvMzEvMjAxMwEAAAAC7VoAAgAAABEwLjQ2NTAxOTQ4NzY1NzUzNAAeDWyU9ZbdCJKx7JT1lt0IM0NJUUFWRy4kVVNEQlJMLklRX0xBU1RTQUxFUFJJQ0UuMS8xLzIwMTQuMTIvMzEvMjAxNAEAAAAC7VoAAgAAABEwLjQyNTYyODQ1NTU3MjYwMwAeDWyU9ZbdCHQm7ZT1lt0IM0NJUUFWRy4kVVNEQlJMLklRX0xBU1RTQUxFUFJJQ0UuMS8xLzIwMTUuMTIvMzEvMjAxNQEAAAAC7VoAAgAAABEwLjMw</t>
  </si>
  <si>
    <t>NDU5MTM4NzI5MzE1MQAeDWyU9ZbdCCnC5pT1lt0IM0NJUUFWRy4kVVNEQlJMLklRX0xBU1RTQUxFUFJJQ0UuMS8xLzIwMTYuMTIvMzEvMjAxNgEAAAAC7VoAAgAAABEwLjI4ODQxMzQxNjY4MDMyOAAeDWyU9ZbdCAc355T1lt0IM0NJUUFWRy4kVVNEQlJMLklRX0xBU1RTQUxFUFJJQ0UuMS8xLzIwMTcuMTIvMzEvMjAxNwEAAAAC7VoAAgAAABAwLjMxMzI1NzY1NTEwMTM3AB4NbJT1lt0I66vnlPWW3QgzQ0lRQVZHLiRVU0RCUkwuSVFfTEFTVFNBTEVQUklDRS4xLzEvMjAxOC4xMi8zMS8yMDE4AQAAAALtWgACAAAAETAuMjc1NDA3OTc2NjU0Nzk0AB4NbJT1lt0IxiDolPWW3QgzQ0lRQVZHLiRVU0RCUkwuSVFfTEFTVFNBTEVQUklDRS4xLzEvMjAxOS4xMi8zMS8yMDE5AQAAAALtWgACAAAAETAuMjUzOTY1NTgxNTE1MDY4AB4NbJT1lt0Im7zolPWW3QgzQ0lRQVZHLiRVU0RCUkwuSVFfTEFTVFNBTEVQUklDRS4xLzEvMjAyMC4xMi8zMS8yMDIwAQAAAALtWgACAAAAETAuMTk1Nzk3NTI3ODA4NzQzAB4NbJT1lt0IfzHplPWW3QgzQ0lRQVZHLiRVU0RCUkwuSVFfTEFTVFNBTEVQUklDRS4xLzEvMjAyMS4xMi8zMS8yMDIxAQAAAALtWgACAAAAETAuMTg1NjU1MTk4NTkxNzgxAB4NbJT1lt0IXqbplPWW3QgzQ0lRQVZHLiRVU0RCUkwuSVFfTEFTVFNBTEVQUklDRS4xLzEvMjAyMi4xMi8zMS8yMDIyAQAAAALt</t>
  </si>
  <si>
    <t>WgACAAAAETAuMTk0MDIwMzYwMzk0NTIxAB4NbJT1lt0ISRvqlPWW3QgzQ0lRQVZHLiRVU0RCUkwuSVFfTEFTVFNBTEVQUklDRS4xLzEvMjAyMy4xMi8zMS8yMDIzAQAAAALtWgACAAAAETAuMjAwNDE3NTQzOTEyMzI5AB4NbJT1lt0IH7fqlPWW3Qg0Q0lRQVZHLiRVU0RDTlkuSVFfTEFTVFNBTEVQUklDRS4xMC8xLzIwMjMuMTIvMzEvMjAyMwEAAAAC7VoAAgAAABEwLjEzODQ4MzI0MzIxNzM5MQAeDWyU9ZbdCGm45JT1lt0IMkNJUUFWRy4kVVNEQ05ZLklRX0xBU1RTQUxFUFJJQ0UuMS8xLzIwMTguMy8zMS8yMDE4AQAAAALtWgACAAAAETAuMTU3MzI4NjMwOTIyMjIyAB4NbJT1lt0IpTTclPWW3QgyQ0lRQVZHLiRVU0RDTlkuSVFfTEFTVFNBTEVQUklDRS40LzEvMjAxOC42LzMwLzIwMTgBAAAAAu1aAAIAAAARMC4xNTY4MTU1Mzc4MDIxOTgAHg1slPWW3Qh4keSU9ZbdCDJDSVFBVkcuJFVTRENOWS5JUV9MQVNUU0FMRVBSSUNFLjcvMS8yMDE4LjkvMzAvMjAxOAEAAAAC7VoAAgAAABEwLjE0Njk4MzY1MDE1MjE3NAAeDWyU9ZbdCHiR5JT1lt0INENJUUFWRy4kVVNEQ05ZLklRX0xBU1RTQUxFUFJJQ0UuMTAvMS8yMDE4LjEyLzMxLzIwMTgBAAAAAu1aAAIAAAARMC4xNDQ2MDgwMjU1ODY5NTcAHg1slPWW3Qh4keSU9ZbdCDJDSVFBVkcuJFVTRENOWS5JUV9MQVNUU0FMRVBSSUNFLjEvMS8yMDE5LjMvMzEv</t>
  </si>
  <si>
    <t>MjAxOQEAAAAC7VoAAgAAABEwLjE0ODE5OTY1MTUxMTExMQAeDWyU9ZbdCHiR5JT1lt0IMkNJUUFWRy4kVVNEQ05ZLklRX0xBU1RTQUxFUFJJQ0UuNC8xLzIwMTkuNi8zMC8yMDE5AQAAAALtWgACAAAAETAuMTQ2NjA1MzI5MTg2ODEzAB4NbJT1lt0IabjklPWW3QgyQ0lRQVZHLiRVU0RDTlkuSVFfTEFTVFNBTEVQUklDRS43LzEvMjAxOS45LzMwLzIwMTkBAAAAAu1aAAIAAAARMC4xNDI1NTIxMjY0NzgyNjEAHg1slPWW3QhpuOSU9ZbdCDRDSVFBVkcuJFVTRENOWS5JUV9MQVNUU0FMRVBSSUNFLjEwLzEvMjAxOS4xMi8zMS8yMDE5AQAAAALtWgACAAAAETAuMTQxOTkwMzU1MzM2OTU3AB4NbJT1lt0IabjklPWW3QgyQ0lRQVZHLiRVU0RDTlkuSVFfTEFTVFNBTEVQUklDRS4xLzEvMjAyMC4zLzMxLzIwMjABAAAAAu1aAAIAAAARMC4xNDMyODE4Mjk2NDgzNTIAHg1slPWW3QhpuOSU9ZbdCDJDSVFBVkcuJFVTRENOWS5JUV9MQVNUU0FMRVBSSUNFLjQvMS8yMDIwLjYvMzAvMjAyMAEAAAAC7VoAAgAAABEwLjE0MTEzNjk2OTQxNzU4MgAeDWyU9ZbdCFzf5JT1lt0IMkNJUUFWRy4kVVNEQ05ZLklRX0xBU1RTQUxFUFJJQ0UuNy8xLzIwMjAuOS8zMC8yMDIwAQAAAALtWgACAAAAETAuMTQ0NTQ1NDIyODI2MDg3AB4NbJT1lt0IXN/klPWW3Qg0Q0lRQVZHLiRVU0RDTlkuSVFfTEFTVFNBTEVQUklDRS4xMC8xLzIw</t>
  </si>
  <si>
    <t>MjAuMTIvMzEvMjAyMAEAAAAC7VoAAgAAABEwLjE1MTAzNzkyMzg4MDQzNQAeDWyU9ZbdCGm45JT1lt0IMkNJUUFWRy4kVVNEQ05ZLklRX0xBU1RTQUxFUFJJQ0UuMS8xLzIwMjEuMy8zMS8yMDIxAQAAAALtWgACAAAAETAuMTU0MjUxNDM1MTY2NjY3AB4NbJT1lt0IXN/klPWW3QgyQ0lRQVZHLiRVU0RDTlkuSVFfTEFTVFNBTEVQUklDRS40LzEvMjAyMS42LzMwLzIwMjEBAAAAAu1aAAIAAAARMC4xNTQ4MzAzNTg4MDIxOTgAHg1slPWW3Qhc3+SU9ZbdCDJDSVFBVkcuJFVTRENOWS5JUV9MQVNUU0FMRVBSSUNFLjcvMS8yMDIxLjkvMzAvMjAyMQEAAAAC7VoAAgAAABEwLjE1NDU0MzIzNDU5NzgyNgAeDWyU9ZbdCFzf5JT1lt0INENJUUFWRy4kVVNEQ05ZLklRX0xBU1RTQUxFUFJJQ0UuMTAvMS8yMDIxLjEyLzMxLzIwMjEBAAAAAu1aAAIAAAARMC4xNTY0MTI5MjExNTIxNzQAHg1slPWW3Qhc3+SU9ZbdCDJDSVFBVkcuJFVTRENOWS5JUV9MQVNUU0FMRVBSSUNFLjEvMS8yMDIyLjMvMzEvMjAyMgEAAAAC7VoAAgAAABEwLjE1NzUzMTI3NDAzMzMzMwAeDWyU9ZbdCHiR5JT1lt0IMkNJUUFWRy4kVVNEQ05ZLklRX0xBU1RTQUxFUFJJQ0UuNC8xLzIwMjIuNi8zMC8yMDIyAQAAAALtWgACAAAAETAuMTUxMzg1MjIyMTIwODc5AB4NbJT1lt0IeJHklPWW3QgyQ0lRQVZHLiRVU0RDTlkuSVFfTEFTVFNBTEVQUklD</t>
  </si>
  <si>
    <t>RS43LzEvMjAyMi45LzMwLzIwMjIBAAAAAu1aAAIAAAARMC4xNDYxMzQ2NTY5NTY1MjIAHg1slPWW3Qh4keSU9ZbdCDRDSVFBVkcuJFVTRENOWS5JUV9MQVNUU0FMRVBSSUNFLjEwLzEvMjAyMi4xMi8zMS8yMDIyAQAAAALtWgACAAAAETAuMTQwNzI2NDczODI2MDg3AB4NbJT1lt0IeJHklPWW3QgyQ0lRQVZHLiRVU0RDTlkuSVFfTEFTVFNBTEVQUklDRS4xLzEvMjAyMy4zLzMxLzIwMjMBAAAAAu1aAAIAAAAMMC4xNDYxNzE1MDMzAB4NbJT1lt0IabjklPWW3QgyQ0lRQVZHLiRVU0RDTlkuSVFfTEFTVFNBTEVQUklDRS40LzEvMjAyMy42LzMwLzIwMjMBAAAAAu1aAAIAAAARMC4xNDI3MTAzMDY5NjcwMzMAHg1slPWW3QhpuOSU9ZbdCDJDSVFBVkcuJFVTRENOWS5JUV9MQVNUU0FMRVBSSUNFLjcvMS8yMDIzLjkvMzAvMjAyMwEAAAAC7VoAAgAAABEwLjEzODA2NDk1NjkzNDc4MwAeDWyU9ZbdCGm45JT1lt0IMkNJUUFWRy4kVVNEQ05ZLklRX0xBU1RTQUxFUFJJQ0UuMS8xLzIwMjQuMy8zMS8yMDI0AQAAAALtWgACAAAAETAuMTM5Mjg4NjM5ODU3MTQzAB4NbJT1lt0IabjklPWW3QgzQ0lRQVZHLiRVU0RDTlkuSVFfTEFTVFNBTEVQUklDRS4xLzEvMjAxOC4xMi8zMS8yMDE4AQAAAALtWgACAAAAETAuMTUxMzg2OTE3NTA5NTg5AB4NbJT1lt0I4IfalPWW3QgzQ0lRQVZHLiRVU0RDTlkuSVFfTEFTVFNBTEVQ</t>
  </si>
  <si>
    <t>UklDRS4xLzEvMjAxOS4xMi8zMS8yMDE5AQAAAALtWgACAAAAEDAuMTQ0ODEzNTk0Mjk4NjMAHg1slPWW3Qhc3+SU9ZbdCDNDSVFBVkcuJFVTRENOWS5JUV9MQVNUU0FMRVBSSUNFLjEvMS8yMDIwLjEyLzMxLzIwMjABAAAAAu1aAAIAAAARMC4xNDUwMTU3ODg1NTczNzcAHg1slPWW3Qhc3+SU9ZbdCDNDSVFBVkcuJFVTRENOWS5JUV9MQVNUU0FMRVBSSUNFLjEvMS8yMDIxLjEyLzMxLzIwMjEBAAAAAu1aAAIAAAAQMC4xNTUwMTQxMzE5MDQxMQAeDWyU9ZbdCFzf5JT1lt0IM0NJUUFWRy4kVVNEQ05ZLklRX0xBU1RTQUxFUFJJQ0UuMS8xLzIwMjIuMTIvMzEvMjAyMgEAAAAC7VoAAgAAABEwLjE0ODg5MDY2ODI0MTA5NgAeDWyU9ZbdCFzf5JT1lt0IK0NJUUFWRy4kVVNEQ05ZLklRX0xBU1RTQUxFUFJJQ0UuLjEyLzMxLzIwMjIFAAAAAAAAAAgAAAASKEludmFsaWQgRW5kIERhdGUpopRnMuuW3QjB/NqU9ZbdCCtDSVFBVkcuJFVTRENOWS5JUV9MQVNUU0FMRVBSSUNFLi4xMi8zMS8yMDE5BQAAAAAAAAAIAAAAEihJbnZhbGlkIEVuZCBEYXRlKaKUZzLrlt0Ik7/blPWW3QgrQ0lRQVZHLiRVU0RDTlkuSVFfTEFTVFNBTEVQUklDRS4uMTIvMzEvMjAyMAUAAAAAAAAACAAAABIoSW52YWxpZCBFbmQgRGF0ZSmilGcy65bdCJ9x25T1lt0IK0NJUUFWRy4kVVNEQ05ZLklRX0xBU1RTQUxFUFJJQ0UuLjEyLzMxLzIw</t>
  </si>
  <si>
    <t>MjEFAAAAAAAAAAgAAAASKEludmFsaWQgRW5kIERhdGUpopRnMuuW3QgmJNuU9ZbdCCpDSVFBVkcuJFVTRENOWS5JUV9MQVNUU0FMRVBSSUNFLi45LzMwLzIwMjMFAAAAAAAAAAgAAAASKEludmFsaWQgRW5kIERhdGUpopRnMuuW3QiDr9qU9ZbdCCpDSVFBVkcuJFVTRENOWS5JUV9MQVNUU0FMRVBSSUNFLi4zLzMxLzIwMjQFAAAAAAAAAAgAAAASKEludmFsaWQgRW5kIERhdGUpopRnMuuW3QjL1dqU9ZbdCCpDSVFBVkcuJFVTRENOWS5JUV9MQVNUU0FMRVBSSUNFLi45LzMwLzIwMjIFAAAAAAAAAAgAAAASKEludmFsaWQgRW5kIERhdGUpopRnMuuW3QjB/NqU9ZbdCCpDSVFBVkcuJFVTRENOWS5JUV9MQVNUU0FMRVBSSUNFLi4zLzMxLzIwMjMFAAAAAAAAAAgAAAASKEludmFsaWQgRW5kIERhdGUpopRnMuuW3QjB/NqU9ZbdCCpDSVFBVkcuJFVTRENOWS5JUV9MQVNUU0FMRVBSSUNFLi42LzMwLzIwMjMFAAAAAAAAAAgAAAASKEludmFsaWQgRW5kIERhdGUpopRnMuuW3QgmJNuU9ZbdCCpDSVFBVkcuJFVTRENOWS5JUV9MQVNUU0FMRVBSSUNFLi45LzMwLzIwMjEFAAAAAAAAAAgAAAASKEludmFsaWQgRW5kIERhdGUpopRnMuuW3QgmJNuU9ZbdCCpDSVFBVkcuJFVTRENOWS5JUV9MQVNUU0FMRVBSSUNFLi4zLzMxLzIwMjIFAAAAAAAAAAgAAAASKEludmFsaWQgRW5kIERhdGUpopRnMuuW3QipStuU9ZbdCCpD</t>
  </si>
  <si>
    <t>SVFBVkcuJFVTRENOWS5JUV9MQVNUU0FMRVBSSUNFLi42LzMwLzIwMjIFAAAAAAAAAAgAAAASKEludmFsaWQgRW5kIERhdGUpopRnMuuW3QipStuU9ZbdCCpDSVFBVkcuJFVTRENOWS5JUV9MQVNUU0FMRVBSSUNFLi45LzMwLzIwMjAFAAAAAAAAAAgAAAASKEludmFsaWQgRW5kIERhdGUpopRnMuuW3QifcduU9ZbdCCpDSVFBVkcuJFVTRENOWS5JUV9MQVNUU0FMRVBSSUNFLi4zLzMxLzIwMjEFAAAAAAAAAAgAAAASKEludmFsaWQgRW5kIERhdGUpopRnMuuW3QifcduU9ZbdCCpDSVFBVkcuJFVTRENOWS5JUV9MQVNUU0FMRVBSSUNFLi42LzMwLzIwMjEFAAAAAAAAAAgAAAASKEludmFsaWQgRW5kIERhdGUpopRnMuuW3QgfmduU9ZbdCCpDSVFBVkcuJFVTRENOWS5JUV9MQVNUU0FMRVBSSUNFLi45LzMwLzIwMTkFAAAAAAAAAAgAAAASKEludmFsaWQgRW5kIERhdGUpopRnMuuW3QgfmduU9ZbdCCpDSVFBVkcuJFVTRENOWS5JUV9MQVNUU0FMRVBSSUNFLi4zLzMxLzIwMjAFAAAAAAAAAAgAAAASKEludmFsaWQgRW5kIERhdGUpopRnMuuW3QiTv9uU9ZbdCCpDSVFBVkcuJFVTRENOWS5JUV9MQVNUU0FMRVBSSUNFLi42LzMwLzIwMjAFAAAAAAAAAAgAAAASKEludmFsaWQgRW5kIERhdGUpopRnMuuW3QiTv9uU9ZbdCCpDSVFBVkcuJFVTRENOWS5JUV9MQVNUU0FMRVBSSUNFLi45LzMwLzIwMTgFAAAAAAAAAAgA</t>
  </si>
  <si>
    <t>AAASKEludmFsaWQgRW5kIERhdGUpopRnMuuW3QjR5tuU9ZbdCCtDSVFBVkcuJFVTRENOWS5JUV9MQVNUU0FMRVBSSUNFLi4xMi8zMS8yMDE4BQAAAAAAAAAIAAAAEihJbnZhbGlkIEVuZCBEYXRlKaKUZzLrlt0I0ebblPWW3QgqQ0lRQVZHLiRVU0RDTlkuSVFfTEFTVFNBTEVQUklDRS4uMy8zMS8yMDE5BQAAAAAAAAAIAAAAEihJbnZhbGlkIEVuZCBEYXRlKaKUZzLrlt0Izg3clPWW3QgqQ0lRQVZHLiRVU0RDTlkuSVFfTEFTVFNBTEVQUklDRS4uNi8zMC8yMDE5BQAAAAAAAAAIAAAAEihJbnZhbGlkIEVuZCBEYXRlKaKUZzLrlt0Izg3clPWW3QgrQ0lRQVZHLiRVU0RDTlkuSVFfTEFTVFNBTEVQUklDRS4uMTIvMzEvMjAyMwUAAAAAAAAACAAAABIoSW52YWxpZCBFbmQgRGF0ZSmilGcy65bdCM4N3JT1lt0IKkNJUUFWRy4kVVNEQ05ZLklRX0xBU1RTQUxFUFJJQ0UuLjYvMzAvMjAxOAUAAAAAAAAACAAAABIoSW52YWxpZCBFbmQgRGF0ZSmilGcy65bdCHNb3JT1lt0IK0NJUUFWRy4kVVNEQlJMLklRX0xBU1RTQUxFUFJJQ0UuLjEyLzMxLzIwMjIFAAAAAAAAAAgAAAASKEludmFsaWQgRW5kIERhdGUpopRnMuuW3Qh00dyU9ZbdCCtDSVFBVkcuJFVTREJSTC5JUV9MQVNUU0FMRVBSSUNFLi4xMi8zMS8yMDIzBQAAAAAAAAAIAAAAEihJbnZhbGlkIEVuZCBEYXRlKaKUZzLrlt0IXanclPWW3QgrQ0lRQVZHLiRV</t>
  </si>
  <si>
    <t>U0RCUkwuSVFfTEFTVFNBTEVQUklDRS4uMTIvMzEvMjAxOAUAAAAAAAAACAAAABIoSW52YWxpZCBFbmQgRGF0ZSmilGcy65bdCDb33JT1lt0IK0NJUUFWRy4kVVNEQlJMLklRX0xBU1RTQUxFUFJJQ0UuLjEyLzMxLzIwMTkFAAAAAAAAAAgAAAASKEludmFsaWQgRW5kIERhdGUpopRnMuuW3Qg299yU9ZbdCCtDSVFBVkcuJFVTREJSTC5JUV9MQVNUU0FMRVBSSUNFLi4xMi8zMS8yMDIwBQAAAAAAAAAIAAAAEihJbnZhbGlkIEVuZCBEYXRlKaKUZzLrlt0INvfclPWW3QgrQ0lRQVZHLiRVU0RCUkwuSVFfTEFTVFNBTEVQUklDRS4uMTIvMzEvMjAyMQUAAAAAAAAACAAAABIoSW52YWxpZCBFbmQgRGF0ZSmilGcy65bdCHTR3JT1lt0IK0NJUUFWRy4kVVNEQlJMLklRX0xBU1RTQUxFUFJJQ0UuLjEyLzMxLzIwMTQFAAAAAAAAAAgAAAASKEludmFsaWQgRW5kIERhdGUpopRnMuuW3QhkRt2U9ZbdCCtDSVFBVkcuJFVTREJSTC5JUV9MQVNUU0FMRVBSSUNFLi4xMi8zMS8yMDE1BQAAAAAAAAAIAAAAEihJbnZhbGlkIEVuZCBEYXRlKaKUZzLrlt0IZEbdlPWW3QgrQ0lRQVZHLiRVU0RCUkwuSVFfTEFTVFNBTEVQUklDRS4uMTIvMzEvMjAxNgUAAAAAAAAACAAAABIoSW52YWxpZCBFbmQgRGF0ZSmilGcy65bdCCwe3ZT1lt0IK0NJUUFWRy4kVVNEQlJMLklRX0xBU1RTQUxFUFJJQ0UuLjEyLzMxLzIwMTcFAAAAAAAAAAgA</t>
  </si>
  <si>
    <t>AAASKEludmFsaWQgRW5kIERhdGUpopRnMuuW3QgsHt2U9ZbdCCtDSVFBVkcuJFVTREJSTC5JUV9MQVNUU0FMRVBSSUNFLi4xMi8zMS8yMDEyBQAAAAAAAAAIAAAAEihJbnZhbGlkIEVuZCBEYXRlKaKUZzLrlt0INW3dlPWW3QgrQ0lRQVZHLiRVU0RCUkwuSVFfTEFTVFNBTEVQUklDRS4uMTIvMzEvMjAxMwUAAAAAAAAACAAAABIoSW52YWxpZCBFbmQgRGF0ZSmilGcy65bdCGRG3ZT1lt0IK0NJUUFWRy4kVVNEQlJMLklRX0xBU1RTQUxFUFJJQ0UuLjEyLzMxLzIwMjQFAAAAAAAAAAgAAAASKEludmFsaWQgRW5kIERhdGUpopRnMuuW3QhigtyU9ZbdCCpDSVFBVkcuJFVTREJSTC5JUV9MQVNUU0FMRVBSSUNFLi4zLzMxLzIwMjQFAAAAAAAAAAgAAAASKEludmFsaWQgRW5kIERhdGUpopRnMuuW3QhdqdyU9ZbdCCpDSVFBVkcuJFVTREJSTC5JUV9MQVNUU0FMRVBSSUNFLi42LzMwLzIwMjQFAAAAAAAAAAgAAAASKEludmFsaWQgRW5kIERhdGUpopRnMuuW3QhdqdyU9ZbdCCpDSVFBVkcuJFVTREJSTC5JUV9MQVNUU0FMRVBSSUNFLi45LzMwLzIwMjQFAAAAAAAAAAgAAAASKEludmFsaWQgRW5kIERhdGUpopRnMuuW3QhdqdyU9ZbdCCpDSVFBVkcuJFVTREJSTC5JUV9MQVNUU0FMRVBSSUNFLi4zLzMxLzIwMjMFAAAAAAAAAAgAAAASKEludmFsaWQgRW5kIERhdGUpopRnMuuW3QhdqdyU9ZbdCCpDSVFBVkcuJFVT</t>
  </si>
  <si>
    <t>REJSTC5JUV9MQVNUU0FMRVBSSUNFLi42LzMwLzIwMjMFAAAAAAAAAAgAAAASKEludmFsaWQgRW5kIERhdGUpopRnMuuW3QhdqdyU9ZbdCCpDSVFBVkcuJFVTREJSTC5JUV9MQVNUU0FMRVBSSUNFLi45LzMwLzIwMjMFAAAAAAAAAAgAAAASKEludmFsaWQgRW5kIERhdGUpopRnMuuW3QhdqdyU9ZbdCCpDSVFBVkcuJFVTREJSTC5JUV9MQVNUU0FMRVBSSUNFLi4zLzMxLzIwMjIFAAAAAAAAAAgAAAASKEludmFsaWQgRW5kIERhdGUpopRnMuuW3QhdqdyU9ZbdCCpDSVFBVkcuJFVTREJSTC5JUV9MQVNUU0FMRVBSSUNFLi42LzMwLzIwMjIFAAAAAAAAAAgAAAASKEludmFsaWQgRW5kIERhdGUpopRnMuuW3Qh00dyU9ZbdCCpDSVFBVkcuJFVTREJSTC5JUV9MQVNUU0FMRVBSSUNFLi45LzMwLzIwMjIFAAAAAAAAAAgAAAASKEludmFsaWQgRW5kIERhdGUpopRnMuuW3Qh00dyU9ZbdCCpDSVFBVkcuJFVTREJSTC5JUV9MQVNUU0FMRVBSSUNFLi4zLzMxLzIwMjEFAAAAAAAAAAgAAAASKEludmFsaWQgRW5kIERhdGUpopRnMuuW3Qh00dyU9ZbdCCpDSVFBVkcuJFVTREJSTC5JUV9MQVNUU0FMRVBSSUNFLi42LzMwLzIwMjEFAAAAAAAAAAgAAAASKEludmFsaWQgRW5kIERhdGUpopRnMuuW3Qh00dyU9ZbdCCpDSVFBVkcuJFVTREJSTC5JUV9MQVNUU0FMRVBSSUNFLi45LzMwLzIwMjEFAAAAAAAAAAgAAAASKEludmFs</t>
  </si>
  <si>
    <t>aWQgRW5kIERhdGUpopRnMuuW3Qh00dyU9ZbdCCpDSVFBVkcuJFVTREJSTC5JUV9MQVNUU0FMRVBSSUNFLi4zLzMxLzIwMjAFAAAAAAAAAAgAAAASKEludmFsaWQgRW5kIERhdGUpopRnMuuW3Qh00dyU9ZbdCCpDSVFBVkcuJFVTREJSTC5JUV9MQVNUU0FMRVBSSUNFLi42LzMwLzIwMjAFAAAAAAAAAAgAAAASKEludmFsaWQgRW5kIERhdGUpopRnMuuW3Qh00dyU9ZbdCCpDSVFBVkcuJFVTREJSTC5JUV9MQVNUU0FMRVBSSUNFLi45LzMwLzIwMjAFAAAAAAAAAAgAAAASKEludmFsaWQgRW5kIERhdGUpopRnMuuW3Qg299yU9ZbdCCpDSVFBVkcuJFVTREJSTC5JUV9MQVNUU0FMRVBSSUNFLi4zLzMxLzIwMTkFAAAAAAAAAAgAAAASKEludmFsaWQgRW5kIERhdGUpopRnMuuW3Qg299yU9ZbdCCpDSVFBVkcuJFVTREJSTC5JUV9MQVNUU0FMRVBSSUNFLi42LzMwLzIwMTkFAAAAAAAAAAgAAAASKEludmFsaWQgRW5kIERhdGUpopRnMuuW3Qg299yU9ZbdCCpDSVFBVkcuJFVTREJSTC5JUV9MQVNUU0FMRVBSSUNFLi45LzMwLzIwMTkFAAAAAAAAAAgAAAASKEludmFsaWQgRW5kIERhdGUpopRnMuuW3Qg299yU9ZbdCCpDSVFBVkcuJFVTREJSTC5JUV9MQVNUU0FMRVBSSUNFLi4zLzMxLzIwMTgFAAAAAAAAAAgAAAASKEludmFsaWQgRW5kIERhdGUpopRnMuuW3Qg299yU9ZbdCCpDSVFBVkcuJFVTREJSTC5JUV9MQVNU</t>
  </si>
  <si>
    <t>U0FMRVBSSUNFLi42LzMwLzIwMTgFAAAAAAAAAAgAAAASKEludmFsaWQgRW5kIERhdGUpopRnMuuW3Qg299yU9ZbdCCpDSVFBVkcuJFVTREJSTC5JUV9MQVNUU0FMRVBSSUNFLi45LzMwLzIwMTgFAAAAAAAAAAgAAAASKEludmFsaWQgRW5kIERhdGUpopRnMuuW3Qg299yU9ZbdCCpDSVFBVkcuJFVTREJSTC5JUV9MQVNUU0FMRVBSSUNFLi4zLzMxLzIwMTcFAAAAAAAAAAgAAAASKEludmFsaWQgRW5kIERhdGUpopRnMuuW3QgsHt2U9ZbdCCpDSVFBVkcuJFVTREJSTC5JUV9MQVNUU0FMRVBSSUNFLi42LzMwLzIwMTcFAAAAAAAAAAgAAAASKEludmFsaWQgRW5kIERhdGUpopRnMuuW3QgsHt2U9ZbdCCpDSVFBVkcuJFVTREJSTC5JUV9MQVNUU0FMRVBSSUNFLi45LzMwLzIwMTcFAAAAAAAAAAgAAAASKEludmFsaWQgRW5kIERhdGUpopRnMuuW3QgsHt2U9ZbdCCpDSVFBVkcuJFVTREJSTC5JUV9MQVNUU0FMRVBSSUNFLi4zLzMxLzIwMTYFAAAAAAAAAAgAAAASKEludmFsaWQgRW5kIERhdGUpopRnMuuW3QgsHt2U9ZbdCCpDSVFBVkcuJFVTREJSTC5JUV9MQVNUU0FMRVBSSUNFLi42LzMwLzIwMTYFAAAAAAAAAAgAAAASKEludmFsaWQgRW5kIERhdGUpopRnMuuW3QgsHt2U9ZbdCCpDSVFBVkcuJFVTREJSTC5JUV9MQVNUU0FMRVBSSUNFLi45LzMwLzIwMTYFAAAAAAAAAAgAAAASKEludmFsaWQgRW5kIERhdGUp</t>
  </si>
  <si>
    <t>opRnMuuW3QgsHt2U9ZbdCCpDSVFBVkcuJFVTREJSTC5JUV9MQVNUU0FMRVBSSUNFLi4zLzMxLzIwMTUFAAAAAAAAAAgAAAASKEludmFsaWQgRW5kIERhdGUpopRnMuuW3QgsHt2U9ZbdCCpDSVFBVkcuJFVTREJSTC5JUV9MQVNUU0FMRVBSSUNFLi42LzMwLzIwMTUFAAAAAAAAAAgAAAASKEludmFsaWQgRW5kIERhdGUpopRnMuuW3QgsHt2U9ZbdCCpDSVFBVkcuJFVTREJSTC5JUV9MQVNUU0FMRVBSSUNFLi45LzMwLzIwMTUFAAAAAAAAAAgAAAASKEludmFsaWQgRW5kIERhdGUpopRnMuuW3QgsHt2U9ZbdCCpDSVFBVkcuJFVTREJSTC5JUV9MQVNUU0FMRVBSSUNFLi4zLzMxLzIwMTQFAAAAAAAAAAgAAAASKEludmFsaWQgRW5kIERhdGUpopRnMuuW3QhkRt2U9ZbdCCpDSVFBVkcuJFVTREJSTC5JUV9MQVNUU0FMRVBSSUNFLi42LzMwLzIwMTQFAAAAAAAAAAgAAAASKEludmFsaWQgRW5kIERhdGUpopRnMuuW3QhkRt2U9ZbdCCpDSVFBVkcuJFVTREJSTC5JUV9MQVNUU0FMRVBSSUNFLi45LzMwLzIwMTQFAAAAAAAAAAgAAAASKEludmFsaWQgRW5kIERhdGUpopRnMuuW3QhkRt2U9ZbdCCpDSVFBVkcuJFVTREJSTC5JUV9MQVNUU0FMRVBSSUNFLi4zLzMxLzIwMTMFAAAAAAAAAAgAAAASKEludmFsaWQgRW5kIERhdGUpopRnMuuW3QhkRt2U9ZbdCCpDSVFBVkcuJFVTREJSTC5JUV9MQVNUU0FMRVBSSUNFLi42</t>
  </si>
  <si>
    <t>LzMwLzIwMTMFAAAAAAAAAAgAAAASKEludmFsaWQgRW5kIERhdGUpopRnMuuW3QhkRt2U9ZbdCCpDSVFBVkcuJFVTREJSTC5JUV9MQVNUU0FMRVBSSUNFLi45LzMwLzIwMTMFAAAAAAAAAAgAAAASKEludmFsaWQgRW5kIERhdGUpopRnMuuW3QhkRt2U9ZbdCCpDSVFBVkcuJFVTREJSTC5JUV9MQVNUU0FMRVBSSUNFLi4zLzMxLzIwMTIFAAAAAAAAAAgAAAASKEludmFsaWQgRW5kIERhdGUpopRnMuuW3QhkRt2U9ZbdCCpDSVFBVkcuJFVTREJSTC5JUV9MQVNUU0FMRVBSSUNFLi42LzMwLzIwMTIFAAAAAAAAAAgAAAASKEludmFsaWQgRW5kIERhdGUpopRnMuuW3Qg1bd2U9ZbdCCpDSVFBVkcuJFVTREJSTC5JUV9MQVNUU0FMRVBSSUNFLi45LzMwLzIwMTIFAAAAAAAAAAgAAAASKEludmFsaWQgRW5kIERhdGUpopRnMuuW3Qg1bd2U9ZbdCCpDSVFBVkcuJFVTREJSTC5JUV9MQVNUU0FMRVBSSUNFLi4zLzMxLzIwMTEFAAAAAAAAAAgAAAASKEludmFsaWQgRW5kIERhdGUpopRnMuuW3Qg1bd2U9ZbdCCpDSVFBVkcuJFVTREJSTC5JUV9MQVNUU0FMRVBSSUNFLi42LzMwLzIwMTEFAAAAAAAAAAgAAAASKEludmFsaWQgRW5kIERhdGUpopRnMuuW3Qg1bd2U9ZbdCCpDSVFBVkcuJFVTREJSTC5JUV9MQVNUU0FMRVBSSUNFLi45LzMwLzIwMTEFAAAAAAAAAAgAAAASKEludmFsaWQgRW5kIERhdGUpopRnMuuW3Qg1bd2U</t>
  </si>
  <si>
    <t>9ZbdCCtDSVFBVkcuJFVTREJSTC5JUV9MQVNUU0FMRVBSSUNFLi4xMi8zMS8yMDExBQAAAAAAAAAIAAAAEihJbnZhbGlkIEVuZCBEYXRlKaKUZzLrlt0INW3dlPWW3QgqQ0lRQVZHLiRVU0RCUkwuSVFfTEFTVFNBTEVQUklDRS4uNi8zMC8yMDEwBQAAAAAAAAAIAAAAEihJbnZhbGlkIEVuZCBEYXRlKaKUZzLrlt0INW3dlPWW3QgqQ0lRQVZHLiRVU0RCUkwuSVFfTEFTVFNBTEVQUklDRS4uOS8zMC8yMDEwBQAAAAAAAAAIAAAAEihJbnZhbGlkIEVuZCBEYXRlKaKUZzLrlt0INW3dlPWW3QgrQ0lRQVZHLiRVU0RCUkwuSVFfTEFTVFNBTEVQUklDRS4uMTIvMzEvMjAxMAUAAAAAAAAACAAAABIoSW52YWxpZCBFbmQgRGF0ZSmilGcy65bdCDaU3ZT1lt0IK0NJUUFWRy4kVVNESU5SLklRX0xBU1RTQUxFUFJJQ0UuLjEyLzMxLzIwMjAFAAAAAAAAAAgAAAASKEludmFsaWQgRW5kIERhdGUpopRnMuuW3QgLCd6U9ZbdCCtDSVFBVkcuJFVTRElOUi5JUV9MQVNUU0FMRVBSSUNFLi4xMi8zMS8yMDIxBQAAAAAAAAAIAAAAEihJbnZhbGlkIEVuZCBEYXRlKaKUZzLrlt0IFOLdlPWW3QgrQ0lRQVZHLiRVU0RJTlIuSVFfTEFTVFNBTEVQUklDRS4uMTIvMzEvMjAyMgUAAAAAAAAACAAAABIoSW52YWxpZCBFbmQgRGF0ZSmilGcy65bdCBTi3ZT1lt0IK0NJUUFWRy4kVVNESU5SLklRX0xBU1RTQUxFUFJJQ0UuLjEyLzMxLzIw</t>
  </si>
  <si>
    <t>MjMFAAAAAAAAAAgAAAASKEludmFsaWQgRW5kIERhdGUpopRnMuuW3QgU4t2U9ZbdCCtDSVFBVkcuJFVTRElOUi5JUV9MQVNUU0FMRVBSSUNFLi4xMi8zMS8yMDE2BQAAAAAAAAAIAAAAEihJbnZhbGlkIEVuZCBEYXRlKaKUZzLrlt0I9lbelPWW3QgrQ0lRQVZHLiRVU0RJTlIuSVFfTEFTVFNBTEVQUklDRS4uMTIvMzEvMjAxNwUAAAAAAAAACAAAABIoSW52YWxpZCBFbmQgRGF0ZSmilGcy65bdCOcu3pT1lt0IK0NJUUFWRy4kVVNESU5SLklRX0xBU1RTQUxFUFJJQ0UuLjEyLzMxLzIwMTgFAAAAAAAAAAgAAAASKEludmFsaWQgRW5kIERhdGUpopRnMuuW3QjnLt6U9ZbdCCtDSVFBVkcuJFVTRElOUi5JUV9MQVNUU0FMRVBSSUNFLi4xMi8zMS8yMDE5BQAAAAAAAAAIAAAAEihJbnZhbGlkIEVuZCBEYXRlKaKUZzLrlt0I5y7elPWW3QgrQ0lRQVZHLiRVU0RJTlIuSVFfTEFTVFNBTEVQUklDRS4uMTIvMzEvMjAxMgUAAAAAAAAACAAAABIoSW52YWxpZCBFbmQgRGF0ZSmilGcy65bdCD9+3pT1lt0IK0NJUUFWRy4kVVNESU5SLklRX0xBU1RTQUxFUFJJQ0UuLjEyLzMxLzIwMTMFAAAAAAAAAAgAAAASKEludmFsaWQgRW5kIERhdGUpopRnMuuW3Qg/ft6U9ZbdCCtDSVFBVkcuJFVTRElOUi5JUV9MQVNUU0FMRVBSSUNFLi4xMi8zMS8yMDE0BQAAAAAAAAAIAAAAEihJbnZhbGlkIEVuZCBEYXRlKaKUZzLrlt0I9lbe</t>
  </si>
  <si>
    <t>lPWW3QgrQ0lRQVZHLiRVU0RJTlIuSVFfTEFTVFNBTEVQUklDRS4uMTIvMzEvMjAxNQUAAAAAAAAACAAAABIoSW52YWxpZCBFbmQgRGF0ZSmilGcy65bdCPZW3pT1lt0IKkNJUUFWRy4kVVNESU5SLklRX0xBU1RTQUxFUFJJQ0UuLjkvMzAvMjAyNAUAAAAAAAAACAAAABIoSW52YWxpZCBFbmQgRGF0ZSmilGcy65bdCCC73ZT1lt0IK0NJUUFWRy4kVVNESU5SLklRX0xBU1RTQUxFUFJJQ0UuLjEyLzMxLzIwMjQFAAAAAAAAAAgAAAASKEludmFsaWQgRW5kIERhdGUpopRnMuuW3Qggu92U9ZbdCCpDSVFBVkcuJFVTRElOUi5JUV9MQVNUU0FMRVBSSUNFLi45LzMwLzIwMjMFAAAAAAAAAAgAAAASKEludmFsaWQgRW5kIERhdGUpopRnMuuW3QgU4t2U9ZbdCCpDSVFBVkcuJFVTRElOUi5JUV9MQVNUU0FMRVBSSUNFLi4zLzMxLzIwMjQFAAAAAAAAAAgAAAASKEludmFsaWQgRW5kIERhdGUpopRnMuuW3QgU4t2U9ZbdCCpDSVFBVkcuJFVTRElOUi5JUV9MQVNUU0FMRVBSSUNFLi42LzMwLzIwMjQFAAAAAAAAAAgAAAASKEludmFsaWQgRW5kIERhdGUpopRnMuuW3QgU4t2U9ZbdCCpDSVFBVkcuJFVTRElOUi5JUV9MQVNUU0FMRVBSSUNFLi45LzMwLzIwMjIFAAAAAAAAAAgAAAASKEludmFsaWQgRW5kIERhdGUpopRnMuuW3QgU4t2U9ZbdCCpDSVFBVkcuJFVTRElOUi5JUV9MQVNUU0FMRVBSSUNFLi4zLzMxLzIwMjMF</t>
  </si>
  <si>
    <t>AAAAAAAAAAgAAAASKEludmFsaWQgRW5kIERhdGUpopRnMuuW3QgU4t2U9ZbdCCpDSVFBVkcuJFVTRElOUi5JUV9MQVNUU0FMRVBSSUNFLi42LzMwLzIwMjMFAAAAAAAAAAgAAAASKEludmFsaWQgRW5kIERhdGUpopRnMuuW3QgU4t2U9ZbdCCpDSVFBVkcuJFVTRElOUi5JUV9MQVNUU0FMRVBSSUNFLi45LzMwLzIwMjEFAAAAAAAAAAgAAAASKEludmFsaWQgRW5kIERhdGUpopRnMuuW3QgU4t2U9ZbdCCpDSVFBVkcuJFVTRElOUi5JUV9MQVNUU0FMRVBSSUNFLi4zLzMxLzIwMjIFAAAAAAAAAAgAAAASKEludmFsaWQgRW5kIERhdGUpopRnMuuW3QgU4t2U9ZbdCCpDSVFBVkcuJFVTRElOUi5JUV9MQVNUU0FMRVBSSUNFLi42LzMwLzIwMjIFAAAAAAAAAAgAAAASKEludmFsaWQgRW5kIERhdGUpopRnMuuW3QgLCd6U9ZbdCCpDSVFBVkcuJFVTRElOUi5JUV9MQVNUU0FMRVBSSUNFLi45LzMwLzIwMjAFAAAAAAAAAAgAAAASKEludmFsaWQgRW5kIERhdGUpopRnMuuW3QgLCd6U9ZbdCCpDSVFBVkcuJFVTRElOUi5JUV9MQVNUU0FMRVBSSUNFLi4zLzMxLzIwMjEFAAAAAAAAAAgAAAASKEludmFsaWQgRW5kIERhdGUpopRnMuuW3QgLCd6U9ZbdCCpDSVFBVkcuJFVTRElOUi5JUV9MQVNUU0FMRVBSSUNFLi42LzMwLzIwMjEFAAAAAAAAAAgAAAASKEludmFsaWQgRW5kIERhdGUpopRnMuuW3QgLCd6U9ZbdCCpDSVFB</t>
  </si>
  <si>
    <t>VkcuJFVTRElOUi5JUV9MQVNUU0FMRVBSSUNFLi45LzMwLzIwMTkFAAAAAAAAAAgAAAASKEludmFsaWQgRW5kIERhdGUpopRnMuuW3QgLCd6U9ZbdCCpDSVFBVkcuJFVTRElOUi5JUV9MQVNUU0FMRVBSSUNFLi4zLzMxLzIwMjAFAAAAAAAAAAgAAAASKEludmFsaWQgRW5kIERhdGUpopRnMuuW3QjnLt6U9ZbdCCpDSVFBVkcuJFVTRElOUi5JUV9MQVNUU0FMRVBSSUNFLi42LzMwLzIwMjAFAAAAAAAAAAgAAAASKEludmFsaWQgRW5kIERhdGUpopRnMuuW3QjnLt6U9ZbdCCpDSVFBVkcuJFVTRElOUi5JUV9MQVNUU0FMRVBSSUNFLi45LzMwLzIwMTgFAAAAAAAAAAgAAAASKEludmFsaWQgRW5kIERhdGUpopRnMuuW3QjnLt6U9ZbdCCpDSVFBVkcuJFVTRElOUi5JUV9MQVNUU0FMRVBSSUNFLi4zLzMxLzIwMTkFAAAAAAAAAAgAAAASKEludmFsaWQgRW5kIERhdGUpopRnMuuW3QjnLt6U9ZbdCCpDSVFBVkcuJFVTRElOUi5JUV9MQVNUU0FMRVBSSUNFLi42LzMwLzIwMTkFAAAAAAAAAAgAAAASKEludmFsaWQgRW5kIERhdGUpopRnMuuW3QjnLt6U9ZbdCCpDSVFBVkcuJFVTRElOUi5JUV9MQVNUU0FMRVBSSUNFLi45LzMwLzIwMTcFAAAAAAAAAAgAAAASKEludmFsaWQgRW5kIERhdGUpopRnMuuW3QjnLt6U9ZbdCCpDSVFBVkcuJFVTRElOUi5JUV9MQVNUU0FMRVBSSUNFLi4zLzMxLzIwMTgFAAAAAAAAAAgAAAAS</t>
  </si>
  <si>
    <t>KEludmFsaWQgRW5kIERhdGUpopRnMuuW3QjnLt6U9ZbdCCpDSVFBVkcuJFVTRElOUi5JUV9MQVNUU0FMRVBSSUNFLi42LzMwLzIwMTgFAAAAAAAAAAgAAAASKEludmFsaWQgRW5kIERhdGUpopRnMuuW3QjnLt6U9ZbdCCpDSVFBVkcuJFVTRElOUi5JUV9MQVNUU0FMRVBSSUNFLi45LzMwLzIwMTYFAAAAAAAAAAgAAAASKEludmFsaWQgRW5kIERhdGUpopRnMuuW3Qj2Vt6U9ZbdCCpDSVFBVkcuJFVTRElOUi5JUV9MQVNUU0FMRVBSSUNFLi4zLzMxLzIwMTcFAAAAAAAAAAgAAAASKEludmFsaWQgRW5kIERhdGUpopRnMuuW3Qj2Vt6U9ZbdCCpDSVFBVkcuJFVTRElOUi5JUV9MQVNUU0FMRVBSSUNFLi42LzMwLzIwMTcFAAAAAAAAAAgAAAASKEludmFsaWQgRW5kIERhdGUpopRnMuuW3Qj2Vt6U9ZbdCCpDSVFBVkcuJFVTRElOUi5JUV9MQVNUU0FMRVBSSUNFLi45LzMwLzIwMTUFAAAAAAAAAAgAAAASKEludmFsaWQgRW5kIERhdGUpopRnMuuW3Qj2Vt6U9ZbdCCpDSVFBVkcuJFVTRElOUi5JUV9MQVNUU0FMRVBSSUNFLi4zLzMxLzIwMTYFAAAAAAAAAAgAAAASKEludmFsaWQgRW5kIERhdGUpopRnMuuW3Qj2Vt6U9ZbdCCpDSVFBVkcuJFVTRElOUi5JUV9MQVNUU0FMRVBSSUNFLi42LzMwLzIwMTYFAAAAAAAAAAgAAAASKEludmFsaWQgRW5kIERhdGUpopRnMuuW3Qj2Vt6U9ZbdCCpDSVFBVkcuJFVTRElOUi5J</t>
  </si>
  <si>
    <t>UV9MQVNUU0FMRVBSSUNFLi45LzMwLzIwMTQFAAAAAAAAAAgAAAASKEludmFsaWQgRW5kIERhdGUpopRnMuuW3Qj2Vt6U9ZbdCCpDSVFBVkcuJFVTRElOUi5JUV9MQVNUU0FMRVBSSUNFLi4zLzMxLzIwMTUFAAAAAAAAAAgAAAASKEludmFsaWQgRW5kIERhdGUpopRnMuuW3Qg/ft6U9ZbdCCpDSVFBVkcuJFVTRElOUi5JUV9MQVNUU0FMRVBSSUNFLi42LzMwLzIwMTUFAAAAAAAAAAgAAAASKEludmFsaWQgRW5kIERhdGUpopRnMuuW3Qg/ft6U9ZbdCCpDSVFBVkcuJFVTRElOUi5JUV9MQVNUU0FMRVBSSUNFLi45LzMwLzIwMTMFAAAAAAAAAAgAAAASKEludmFsaWQgRW5kIERhdGUpopRnMuuW3Qg/ft6U9ZbdCCpDSVFBVkcuJFVTRElOUi5JUV9MQVNUU0FMRVBSSUNFLi4zLzMxLzIwMTQFAAAAAAAAAAgAAAASKEludmFsaWQgRW5kIERhdGUpopRnMuuW3Qg/ft6U9ZbdCCpDSVFBVkcuJFVTRElOUi5JUV9MQVNUU0FMRVBSSUNFLi42LzMwLzIwMTQFAAAAAAAAAAgAAAASKEludmFsaWQgRW5kIERhdGUpopRnMuuW3Qg/ft6U9ZbdCCpDSVFBVkcuJFVTRElOUi5JUV9MQVNUU0FMRVBSSUNFLi45LzMwLzIwMTIFAAAAAAAAAAgAAAASKEludmFsaWQgRW5kIERhdGUpopRnMuuW3Qg/ft6U9ZbdCCpDSVFBVkcuJFVTRElOUi5JUV9MQVNUU0FMRVBSSUNFLi4zLzMxLzIwMTMFAAAAAAAAAAgAAAASKEludmFsaWQgRW5k</t>
  </si>
  <si>
    <t>IERhdGUpopRnMuuW3Qg/ft6U9ZbdCCpDSVFBVkcuJFVTRElOUi5JUV9MQVNUU0FMRVBSSUNFLi42LzMwLzIwMTMFAAAAAAAAAAgAAAASKEludmFsaWQgRW5kIERhdGUpopRnMuuW3Qg/ft6U9ZbdCCpDSVFBVkcuJFVTRElOUi5JUV9MQVNUU0FMRVBSSUNFLi45LzMwLzIwMTEFAAAAAAAAAAgAAAASKEludmFsaWQgRW5kIERhdGUpopRnMuuW3QjqpN6U9ZbdCCtDSVFBVkcuJFVTRElOUi5JUV9MQVNUU0FMRVBSSUNFLi4xMi8zMS8yMDExBQAAAAAAAAAIAAAAEihJbnZhbGlkIEVuZCBEYXRlKaKUZzLrlt0I6qTelPWW3QgqQ0lRQVZHLiRVU0RJTlIuSVFfTEFTVFNBTEVQUklDRS4uMy8zMS8yMDEyBQAAAAAAAAAIAAAAEihJbnZhbGlkIEVuZCBEYXRlKaKUZzLrlt0I6qTelPWW3QgqQ0lRQVZHLiRVU0RJTlIuSVFfTEFTVFNBTEVQUklDRS4uNi8zMC8yMDEyBQAAAAAAAAAIAAAAEihJbnZhbGlkIEVuZCBEYXRlKaKUZzLrlt0I6qTelPWW3QgqQ0lRQVZHLiRVU0RJTlIuSVFfTEFTVFNBTEVQUklDRS4uOS8zMC8yMDEwBQAAAAAAAAAIAAAAEihJbnZhbGlkIEVuZCBEYXRlKaKUZzLrlt0I6qTelPWW3QgrQ0lRQVZHLiRVU0RJTlIuSVFfTEFTVFNBTEVQUklDRS4uMTIvMzEvMjAxMAUAAAAAAAAACAAAABIoSW52YWxpZCBFbmQgRGF0ZSmilGcy65bdCOqk3pT1lt0IKkNJUUFWRy4kVVNESU5SLklRX0xBU1RTQUxF</t>
  </si>
  <si>
    <t>UFJJQ0UuLjMvMzEvMjAxMQUAAAAAAAAACAAAABIoSW52YWxpZCBFbmQgRGF0ZSmilGcy65bdCOqk3pT1lt0IKkNJUUFWRy4kVVNESU5SLklRX0xBU1RTQUxFUFJJQ0UuLjYvMzAvMjAxMQUAAAAAAAAACAAAABIoSW52YWxpZCBFbmQgRGF0ZSmilGcy65bdCOqk3pT1lt0IK0NJUUFWRy4kVVNEQVVELklRX0xBU1RTQUxFUFJJQ0UuLjEyLzMxLzIwMjIFAAAAAAAAAAgAAAASKEludmFsaWQgRW5kIERhdGUpopRnMuuW3QjqGd+U9ZbdCCtDSVFBVkcuJFVTREFVRC5JUV9MQVNUU0FMRVBSSUNFLi4xMi8zMS8yMDIzBQAAAAAAAAAIAAAAEihJbnZhbGlkIEVuZCBEYXRlKaKUZzLrlt0I6hnflPWW3QgqQ0lRQVZHLiRVU0RJTlIuSVFfTEFTVFNBTEVQUklDRS4uNi8zMC8yMDEwBQAAAAAAAAAIAAAAEihJbnZhbGlkIEVuZCBEYXRlKaKUZzLrlt0I0svelPWW3QgrQ0lRQVZHLiRVU0RBVUQuSVFfTEFTVFNBTEVQUklDRS4uMTIvMzEvMjAxOAUAAAAAAAAACAAAABIoSW52YWxpZCBFbmQgRGF0ZSmilGcy65bdCNxn35T1lt0IK0NJUUFWRy4kVVNEQVVELklRX0xBU1RTQUxFUFJJQ0UuLjEyLzMxLzIwMTkFAAAAAAAAAAgAAAASKEludmFsaWQgRW5kIERhdGUpopRnMuuW3QiyQN+U9ZbdCCtDSVFBVkcuJFVTREFVRC5JUV9MQVNUU0FMRVBSSUNFLi4xMi8zMS8yMDIwBQAAAAAAAAAIAAAAEihJbnZhbGlkIEVuZCBEYXRl</t>
  </si>
  <si>
    <t>KaKUZzLrlt0IskDflPWW3QgrQ0lRQVZHLiRVU0RBVUQuSVFfTEFTVFNBTEVQUklDRS4uMTIvMzEvMjAyMQUAAAAAAAAACAAAABIoSW52YWxpZCBFbmQgRGF0ZSmilGcy65bdCLJA35T1lt0IK0NJUUFWRy4kVVNEQVVELklRX0xBU1RTQUxFUFJJQ0UuLjEyLzMxLzIwMTQFAAAAAAAAAAgAAAASKEludmFsaWQgRW5kIERhdGUpopRnMuuW3Qigjt+U9ZbdCCtDSVFBVkcuJFVTREFVRC5JUV9MQVNUU0FMRVBSSUNFLi4xMi8zMS8yMDE1BQAAAAAAAAAIAAAAEihJbnZhbGlkIEVuZCBEYXRlKaKUZzLrlt0IoI7flPWW3QgrQ0lRQVZHLiRVU0RBVUQuSVFfTEFTVFNBTEVQUklDRS4uMTIvMzEvMjAxNgUAAAAAAAAACAAAABIoSW52YWxpZCBFbmQgRGF0ZSmilGcy65bdCKCO35T1lt0IK0NJUUFWRy4kVVNEQVVELklRX0xBU1RTQUxFUFJJQ0UuLjEyLzMxLzIwMTcFAAAAAAAAAAgAAAASKEludmFsaWQgRW5kIERhdGUpopRnMuuW3QjcZ9+U9ZbdCCtDSVFBVkcuJFVTREFVRC5JUV9MQVNUU0FMRVBSSUNFLi4xMi8zMS8yMDEyBQAAAAAAAAAIAAAAEihJbnZhbGlkIEVuZCBEYXRlKaKUZzLrlt0Il7XflPWW3QgrQ0lRQVZHLiRVU0RBVUQuSVFfTEFTVFNBTEVQUklDRS4uMTIvMzEvMjAxMwUAAAAAAAAACAAAABIoSW52YWxpZCBFbmQgRGF0ZSmilGcy65bdCJe135T1lt0IK0NJUUFWRy4kVVNEQVVELklRX0xBU1RTQUxF</t>
  </si>
  <si>
    <t>UFJJQ0UuLjEyLzMxLzIwMjQFAAAAAAAAAAgAAAASKEludmFsaWQgRW5kIERhdGUpopRnMuuW3QjJ8t6U9ZbdCCpDSVFBVkcuJFVTREFVRC5JUV9MQVNUU0FMRVBSSUNFLi4zLzMxLzIwMjQFAAAAAAAAAAgAAAASKEludmFsaWQgRW5kIERhdGUpopRnMuuW3QjJ8t6U9ZbdCCpDSVFBVkcuJFVTREFVRC5JUV9MQVNUU0FMRVBSSUNFLi42LzMwLzIwMjQFAAAAAAAAAAgAAAASKEludmFsaWQgRW5kIERhdGUpopRnMuuW3QjJ8t6U9ZbdCCpDSVFBVkcuJFVTREFVRC5JUV9MQVNUU0FMRVBSSUNFLi45LzMwLzIwMjQFAAAAAAAAAAgAAAASKEludmFsaWQgRW5kIERhdGUpopRnMuuW3QjJ8t6U9ZbdCCpDSVFBVkcuJFVTREFVRC5JUV9MQVNUU0FMRVBSSUNFLi4zLzMxLzIwMjMFAAAAAAAAAAgAAAASKEludmFsaWQgRW5kIERhdGUpopRnMuuW3QjqGd+U9ZbdCCpDSVFBVkcuJFVTREFVRC5JUV9MQVNUU0FMRVBSSUNFLi42LzMwLzIwMjMFAAAAAAAAAAgAAAASKEludmFsaWQgRW5kIERhdGUpopRnMuuW3QjqGd+U9ZbdCCpDSVFBVkcuJFVTREFVRC5JUV9MQVNUU0FMRVBSSUNFLi45LzMwLzIwMjMFAAAAAAAAAAgAAAASKEludmFsaWQgRW5kIERhdGUpopRnMuuW3QjqGd+U9ZbdCCpDSVFBVkcuJFVTREFVRC5JUV9MQVNUU0FMRVBSSUNFLi4zLzMxLzIwMjIFAAAAAAAAAAgAAAASKEludmFsaWQgRW5kIERhdGUpopRn</t>
  </si>
  <si>
    <t>MuuW3QjqGd+U9ZbdCCpDSVFBVkcuJFVTREFVRC5JUV9MQVNUU0FMRVBSSUNFLi42LzMwLzIwMjIFAAAAAAAAAAgAAAASKEludmFsaWQgRW5kIERhdGUpopRnMuuW3QjqGd+U9ZbdCCpDSVFBVkcuJFVTREFVRC5JUV9MQVNUU0FMRVBSSUNFLi45LzMwLzIwMjIFAAAAAAAAAAgAAAASKEludmFsaWQgRW5kIERhdGUpopRnMuuW3QjqGd+U9ZbdCCpDSVFBVkcuJFVTREFVRC5JUV9MQVNUU0FMRVBSSUNFLi4zLzMxLzIwMjEFAAAAAAAAAAgAAAASKEludmFsaWQgRW5kIERhdGUpopRnMuuW3QjqGd+U9ZbdCCpDSVFBVkcuJFVTREFVRC5JUV9MQVNUU0FMRVBSSUNFLi42LzMwLzIwMjEFAAAAAAAAAAgAAAASKEludmFsaWQgRW5kIERhdGUpopRnMuuW3QjqGd+U9ZbdCCpDSVFBVkcuJFVTREFVRC5JUV9MQVNUU0FMRVBSSUNFLi45LzMwLzIwMjEFAAAAAAAAAAgAAAASKEludmFsaWQgRW5kIERhdGUpopRnMuuW3QiyQN+U9ZbdCCpDSVFBVkcuJFVTREFVRC5JUV9MQVNUU0FMRVBSSUNFLi4zLzMxLzIwMjAFAAAAAAAAAAgAAAASKEludmFsaWQgRW5kIERhdGUpopRnMuuW3QiyQN+U9ZbdCCpDSVFBVkcuJFVTREFVRC5JUV9MQVNUU0FMRVBSSUNFLi42LzMwLzIwMjAFAAAAAAAAAAgAAAASKEludmFsaWQgRW5kIERhdGUpopRnMuuW3QiyQN+U9ZbdCCpDSVFBVkcuJFVTREFVRC5JUV9MQVNUU0FMRVBSSUNFLi45LzMw</t>
  </si>
  <si>
    <t>LzIwMjAFAAAAAAAAAAgAAAASKEludmFsaWQgRW5kIERhdGUpopRnMuuW3QiyQN+U9ZbdCCpDSVFBVkcuJFVTREFVRC5JUV9MQVNUU0FMRVBSSUNFLi4zLzMxLzIwMTkFAAAAAAAAAAgAAAASKEludmFsaWQgRW5kIERhdGUpopRnMuuW3QiyQN+U9ZbdCCpDSVFBVkcuJFVTREFVRC5JUV9MQVNUU0FMRVBSSUNFLi42LzMwLzIwMTkFAAAAAAAAAAgAAAASKEludmFsaWQgRW5kIERhdGUpopRnMuuW3QiyQN+U9ZbdCCpDSVFBVkcuJFVTREFVRC5JUV9MQVNUU0FMRVBSSUNFLi45LzMwLzIwMTkFAAAAAAAAAAgAAAASKEludmFsaWQgRW5kIERhdGUpopRnMuuW3QiyQN+U9ZbdCCpDSVFBVkcuJFVTREFVRC5JUV9MQVNUU0FMRVBSSUNFLi4zLzMxLzIwMTgFAAAAAAAAAAgAAAASKEludmFsaWQgRW5kIERhdGUpopRnMuuW3QjcZ9+U9ZbdCCpDSVFBVkcuJFVTREFVRC5JUV9MQVNUU0FMRVBSSUNFLi42LzMwLzIwMTgFAAAAAAAAAAgAAAASKEludmFsaWQgRW5kIERhdGUpopRnMuuW3QjcZ9+U9ZbdCCpDSVFBVkcuJFVTREFVRC5JUV9MQVNUU0FMRVBSSUNFLi45LzMwLzIwMTgFAAAAAAAAAAgAAAASKEludmFsaWQgRW5kIERhdGUpopRnMuuW3QjcZ9+U9ZbdCCpDSVFBVkcuJFVTREFVRC5JUV9MQVNUU0FMRVBSSUNFLi4zLzMxLzIwMTcFAAAAAAAAAAgAAAASKEludmFsaWQgRW5kIERhdGUpopRnMuuW3QjcZ9+U9Zbd</t>
  </si>
  <si>
    <t>CCpDSVFBVkcuJFVTREFVRC5JUV9MQVNUU0FMRVBSSUNFLi42LzMwLzIwMTcFAAAAAAAAAAgAAAASKEludmFsaWQgRW5kIERhdGUpopRnMuuW3QjcZ9+U9ZbdCCpDSVFBVkcuJFVTREFVRC5JUV9MQVNUU0FMRVBSSUNFLi45LzMwLzIwMTcFAAAAAAAAAAgAAAASKEludmFsaWQgRW5kIERhdGUpopRnMuuW3QjcZ9+U9ZbdCCpDSVFBVkcuJFVTREFVRC5JUV9MQVNUU0FMRVBSSUNFLi4zLzMxLzIwMTYFAAAAAAAAAAgAAAASKEludmFsaWQgRW5kIERhdGUpopRnMuuW3QjcZ9+U9ZbdCCpDSVFBVkcuJFVTREFVRC5JUV9MQVNUU0FMRVBSSUNFLi42LzMwLzIwMTYFAAAAAAAAAAgAAAASKEludmFsaWQgRW5kIERhdGUpopRnMuuW3QjcZ9+U9ZbdCCpDSVFBVkcuJFVTREFVRC5JUV9MQVNUU0FMRVBSSUNFLi45LzMwLzIwMTYFAAAAAAAAAAgAAAASKEludmFsaWQgRW5kIERhdGUpopRnMuuW3Qigjt+U9ZbdCCpDSVFBVkcuJFVTREFVRC5JUV9MQVNUU0FMRVBSSUNFLi4zLzMxLzIwMTUFAAAAAAAAAAgAAAASKEludmFsaWQgRW5kIERhdGUpopRnMuuW3Qigjt+U9ZbdCCpDSVFBVkcuJFVTREFVRC5JUV9MQVNUU0FMRVBSSUNFLi42LzMwLzIwMTUFAAAAAAAAAAgAAAASKEludmFsaWQgRW5kIERhdGUpopRnMuuW3Qigjt+U9ZbdCCpDSVFBVkcuJFVTREFVRC5JUV9MQVNUU0FMRVBSSUNFLi45LzMwLzIwMTUFAAAAAAAA</t>
  </si>
  <si>
    <t>AAgAAAASKEludmFsaWQgRW5kIERhdGUpopRnMuuW3Qigjt+U9ZbdCCpDSVFBVkcuJFVTREFVRC5JUV9MQVNUU0FMRVBSSUNFLi4zLzMxLzIwMTQFAAAAAAAAAAgAAAASKEludmFsaWQgRW5kIERhdGUpopRnMuuW3Qigjt+U9ZbdCCpDSVFBVkcuJFVTREFVRC5JUV9MQVNUU0FMRVBSSUNFLi42LzMwLzIwMTQFAAAAAAAAAAgAAAASKEludmFsaWQgRW5kIERhdGUpopRnMuuW3Qigjt+U9ZbdCCpDSVFBVkcuJFVTREFVRC5JUV9MQVNUU0FMRVBSSUNFLi45LzMwLzIwMTQFAAAAAAAAAAgAAAASKEludmFsaWQgRW5kIERhdGUpopRnMuuW3Qigjt+U9ZbdCCpDSVFBVkcuJFVTREFVRC5JUV9MQVNUU0FMRVBSSUNFLi4zLzMxLzIwMTMFAAAAAAAAAAgAAAASKEludmFsaWQgRW5kIERhdGUpopRnMuuW3QiXtd+U9ZbdCCpDSVFBVkcuJFVTREFVRC5JUV9MQVNUU0FMRVBSSUNFLi42LzMwLzIwMTMFAAAAAAAAAAgAAAASKEludmFsaWQgRW5kIERhdGUpopRnMuuW3QiXtd+U9ZbdCCpDSVFBVkcuJFVTREFVRC5JUV9MQVNUU0FMRVBSSUNFLi45LzMwLzIwMTMFAAAAAAAAAAgAAAASKEludmFsaWQgRW5kIERhdGUpopRnMuuW3QiXtd+U9ZbdCCpDSVFBVkcuJFVTREFVRC5JUV9MQVNUU0FMRVBSSUNFLi4zLzMxLzIwMTIFAAAAAAAAAAgAAAASKEludmFsaWQgRW5kIERhdGUpopRnMuuW3QiXtd+U9ZbdCCpDSVFBVkcuJFVT</t>
  </si>
  <si>
    <t>REFVRC5JUV9MQVNUU0FMRVBSSUNFLi42LzMwLzIwMTIFAAAAAAAAAAgAAAASKEludmFsaWQgRW5kIERhdGUpopRnMuuW3QiXtd+U9ZbdCCpDSVFBVkcuJFVTREFVRC5JUV9MQVNUU0FMRVBSSUNFLi45LzMwLzIwMTIFAAAAAAAAAAgAAAASKEludmFsaWQgRW5kIERhdGUpopRnMuuW3QiXtd+U9ZbdCCpDSVFBVkcuJFVTREFVRC5JUV9MQVNUU0FMRVBSSUNFLi4zLzMxLzIwMTEFAAAAAAAAAAgAAAASKEludmFsaWQgRW5kIERhdGUpopRnMuuW3QiXtd+U9ZbdCCpDSVFBVkcuJFVTREFVRC5JUV9MQVNUU0FMRVBSSUNFLi42LzMwLzIwMTEFAAAAAAAAAAgAAAASKEludmFsaWQgRW5kIERhdGUpopRnMuuW3QiXtd+U9ZbdCCpDSVFBVkcuJFVTREFVRC5JUV9MQVNUU0FMRVBSSUNFLi45LzMwLzIwMTEFAAAAAAAAAAgAAAASKEludmFsaWQgRW5kIERhdGUpopRnMuuW3QiT3N+U9ZbdCCtDSVFBVkcuJFVTREFVRC5JUV9MQVNUU0FMRVBSSUNFLi4xMi8zMS8yMDExBQAAAAAAAAAIAAAAEihJbnZhbGlkIEVuZCBEYXRlKaKUZzLrlt0Ik9zflPWW3QgqQ0lRQVZHLiRVU0RBVUQuSVFfTEFTVFNBTEVQUklDRS4uNi8zMC8yMDEwBQAAAAAAAAAIAAAAEihJbnZhbGlkIEVuZCBEYXRlKaKUZzLrlt0Ik9zflPWW3QgqQ0lRQVZHLiRVU0RBVUQuSVFfTEFTVFNBTEVQUklDRS4uOS8zMC8yMDEwBQAAAAAAAAAIAAAAEihJbnZh</t>
  </si>
  <si>
    <t>bGlkIEVuZCBEYXRlKaKUZzLrlt0Ik9zflPWW3QgrQ0lRQVZHLiRVU0RBVUQuSVFfTEFTVFNBTEVQUklDRS4uMTIvMzEvMjAxMAUAAAAAAAAACAAAABIoSW52YWxpZCBFbmQgRGF0ZSmilGcy65bdCJPc35T1lt0IK0NJUUFWRy4kVVNESlBZLklRX0xBU1RTQUxFUFJJQ0UuLjEyLzMxLzIwMjAFAAAAAAAAAAgAAAASKEludmFsaWQgRW5kIERhdGUpopRnMuuW3Qg/WuCU9ZbdCCtDSVFBVkcuJFVTREpQWS5JUV9MQVNUU0FMRVBSSUNFLi4xMi8zMS8yMDIxBQAAAAAAAAAIAAAAEihJbnZhbGlkIEVuZCBEYXRlKaKUZzLrlt0IP1rglPWW3QgrQ0lRQVZHLiRVU0RKUFkuSVFfTEFTVFNBTEVQUklDRS4uMTIvMzEvMjAyMgUAAAAAAAAACAAAABIoSW52YWxpZCBFbmQgRGF0ZSmilGcy65bdCC8y4JT1lt0IK0NJUUFWRy4kVVNESlBZLklRX0xBU1RTQUxFUFJJQ0UuLjEyLzMxLzIwMjMFAAAAAAAAAAgAAAASKEludmFsaWQgRW5kIERhdGUpopRnMuuW3QgvMuCU9ZbdCCtDSVFBVkcuJFVTREpQWS5JUV9MQVNUU0FMRVBSSUNFLi4xMi8zMS8yMDE2BQAAAAAAAAAIAAAAEihJbnZhbGlkIEVuZCBEYXRlKaKUZzLrlt0IFqfglPWW3QgrQ0lRQVZHLiRVU0RKUFkuSVFfTEFTVFNBTEVQUklDRS4uMTIvMzEvMjAxNwUAAAAAAAAACAAAABIoSW52YWxpZCBFbmQgRGF0ZSmilGcy65bdCBan4JT1lt0IK0NJUUFWRy4kVVNESlBZ</t>
  </si>
  <si>
    <t>LklRX0xBU1RTQUxFUFJJQ0UuLjEyLzMxLzIwMTgFAAAAAAAAAAgAAAASKEludmFsaWQgRW5kIERhdGUpopRnMuuW3QgYgOCU9ZbdCCtDSVFBVkcuJFVTREpQWS5JUV9MQVNUU0FMRVBSSUNFLi4xMi8zMS8yMDE5BQAAAAAAAAAIAAAAEihJbnZhbGlkIEVuZCBEYXRlKaKUZzLrlt0IGIDglPWW3QgrQ0lRQVZHLiRVU0RKUFkuSVFfTEFTVFNBTEVQUklDRS4uMTIvMzEvMjAxMgUAAAAAAAAACAAAABIoSW52YWxpZCBFbmQgRGF0ZSmilGcy65bdCPL04JT1lt0IK0NJUUFWRy4kVVNESlBZLklRX0xBU1RTQUxFUFJJQ0UuLjEyLzMxLzIwMTMFAAAAAAAAAAgAAAASKEludmFsaWQgRW5kIERhdGUpopRnMuuW3QgBzuCU9ZbdCCtDSVFBVkcuJFVTREpQWS5JUV9MQVNUU0FMRVBSSUNFLi4xMi8zMS8yMDE0BQAAAAAAAAAIAAAAEihJbnZhbGlkIEVuZCBEYXRlKaKUZzLrlt0IAc7glPWW3QgrQ0lRQVZHLiRVU0RKUFkuSVFfTEFTVFNBTEVQUklDRS4uMTIvMzEvMjAxNQUAAAAAAAAACAAAABIoSW52YWxpZCBFbmQgRGF0ZSmilGcy65bdCAHO4JT1lt0IKkNJUUFWRy4kVVNESlBZLklRX0xBU1RTQUxFUFJJQ0UuLjkvMzAvMjAyNAUAAAAAAAAACAAAABIoSW52YWxpZCBFbmQgRGF0ZSmilGcy65bdCHUt4JT1lt0IK0NJUUFWRy4kVVNESlBZLklRX0xBU1RTQUxFUFJJQ0UuLjEyLzMxLzIwMjQFAAAAAAAAAAgAAAASKElu</t>
  </si>
  <si>
    <t>dmFsaWQgRW5kIERhdGUpopRnMuuW3QgvMuCU9ZbdCCpDSVFBVkcuJFVTREpQWS5JUV9MQVNUU0FMRVBSSUNFLi45LzMwLzIwMjMFAAAAAAAAAAgAAAASKEludmFsaWQgRW5kIERhdGUpopRnMuuW3QgvMuCU9ZbdCCpDSVFBVkcuJFVTREpQWS5JUV9MQVNUU0FMRVBSSUNFLi4zLzMxLzIwMjQFAAAAAAAAAAgAAAASKEludmFsaWQgRW5kIERhdGUpopRnMuuW3QgvMuCU9ZbdCCpDSVFBVkcuJFVTREpQWS5JUV9MQVNUU0FMRVBSSUNFLi42LzMwLzIwMjQFAAAAAAAAAAgAAAASKEludmFsaWQgRW5kIERhdGUpopRnMuuW3QgvMuCU9ZbdCCpDSVFBVkcuJFVTREpQWS5JUV9MQVNUU0FMRVBSSUNFLi45LzMwLzIwMjIFAAAAAAAAAAgAAAASKEludmFsaWQgRW5kIERhdGUpopRnMuuW3QgvMuCU9ZbdCCpDSVFBVkcuJFVTREpQWS5JUV9MQVNUU0FMRVBSSUNFLi4zLzMxLzIwMjMFAAAAAAAAAAgAAAASKEludmFsaWQgRW5kIERhdGUpopRnMuuW3QgvMuCU9ZbdCCpDSVFBVkcuJFVTREpQWS5JUV9MQVNUU0FMRVBSSUNFLi42LzMwLzIwMjMFAAAAAAAAAAgAAAASKEludmFsaWQgRW5kIERhdGUpopRnMuuW3QgvMuCU9ZbdCCpDSVFBVkcuJFVTREpQWS5JUV9MQVNUU0FMRVBSSUNFLi45LzMwLzIwMjEFAAAAAAAAAAgAAAASKEludmFsaWQgRW5kIERhdGUpopRnMuuW3Qg/WuCU9ZbdCCpDSVFBVkcuJFVTREpQWS5JUV9M</t>
  </si>
  <si>
    <t>QVNUU0FMRVBSSUNFLi4zLzMxLzIwMjIFAAAAAAAAAAgAAAASKEludmFsaWQgRW5kIERhdGUpopRnMuuW3Qg/WuCU9ZbdCCpDSVFBVkcuJFVTREpQWS5JUV9MQVNUU0FMRVBSSUNFLi42LzMwLzIwMjIFAAAAAAAAAAgAAAASKEludmFsaWQgRW5kIERhdGUpopRnMuuW3Qg/WuCU9ZbdCCpDSVFBVkcuJFVTREpQWS5JUV9MQVNUU0FMRVBSSUNFLi45LzMwLzIwMjAFAAAAAAAAAAgAAAASKEludmFsaWQgRW5kIERhdGUpopRnMuuW3Qg/WuCU9ZbdCCpDSVFBVkcuJFVTREpQWS5JUV9MQVNUU0FMRVBSSUNFLi4zLzMxLzIwMjEFAAAAAAAAAAgAAAASKEludmFsaWQgRW5kIERhdGUpopRnMuuW3Qg/WuCU9ZbdCCpDSVFBVkcuJFVTREpQWS5JUV9MQVNUU0FMRVBSSUNFLi42LzMwLzIwMjEFAAAAAAAAAAgAAAASKEludmFsaWQgRW5kIERhdGUpopRnMuuW3QgYgOCU9ZbdCCpDSVFBVkcuJFVTREpQWS5JUV9MQVNUU0FMRVBSSUNFLi45LzMwLzIwMTkFAAAAAAAAAAgAAAASKEludmFsaWQgRW5kIERhdGUpopRnMuuW3QgYgOCU9ZbdCCpDSVFBVkcuJFVTREpQWS5JUV9MQVNUU0FMRVBSSUNFLi4zLzMxLzIwMjAFAAAAAAAAAAgAAAASKEludmFsaWQgRW5kIERhdGUpopRnMuuW3QgYgOCU9ZbdCCpDSVFBVkcuJFVTREpQWS5JUV9MQVNUU0FMRVBSSUNFLi42LzMwLzIwMjAFAAAAAAAAAAgAAAASKEludmFsaWQgRW5kIERh</t>
  </si>
  <si>
    <t>dGUpopRnMuuW3QgYgOCU9ZbdCCpDSVFBVkcuJFVTREpQWS5JUV9MQVNUU0FMRVBSSUNFLi45LzMwLzIwMTgFAAAAAAAAAAgAAAASKEludmFsaWQgRW5kIERhdGUpopRnMuuW3QgYgOCU9ZbdCCpDSVFBVkcuJFVTREpQWS5JUV9MQVNUU0FMRVBSSUNFLi4zLzMxLzIwMTkFAAAAAAAAAAgAAAASKEludmFsaWQgRW5kIERhdGUpopRnMuuW3QgWp+CU9ZbdCCpDSVFBVkcuJFVTREpQWS5JUV9MQVNUU0FMRVBSSUNFLi42LzMwLzIwMTkFAAAAAAAAAAgAAAASKEludmFsaWQgRW5kIERhdGUpopRnMuuW3QgWp+CU9ZbdCCpDSVFBVkcuJFVTREpQWS5JUV9MQVNUU0FMRVBSSUNFLi45LzMwLzIwMTcFAAAAAAAAAAgAAAASKEludmFsaWQgRW5kIERhdGUpopRnMuuW3QgWp+CU9ZbdCCpDSVFBVkcuJFVTREpQWS5JUV9MQVNUU0FMRVBSSUNFLi4zLzMxLzIwMTgFAAAAAAAAAAgAAAASKEludmFsaWQgRW5kIERhdGUpopRnMuuW3QgWp+CU9ZbdCCpDSVFBVkcuJFVTREpQWS5JUV9MQVNUU0FMRVBSSUNFLi42LzMwLzIwMTgFAAAAAAAAAAgAAAASKEludmFsaWQgRW5kIERhdGUpopRnMuuW3QgWp+CU9ZbdCCpDSVFBVkcuJFVTREpQWS5JUV9MQVNUU0FMRVBSSUNFLi45LzMwLzIwMTYFAAAAAAAAAAgAAAASKEludmFsaWQgRW5kIERhdGUpopRnMuuW3QgWp+CU9ZbdCCpDSVFBVkcuJFVTREpQWS5JUV9MQVNUU0FMRVBSSUNF</t>
  </si>
  <si>
    <t>Li4zLzMxLzIwMTcFAAAAAAAAAAgAAAASKEludmFsaWQgRW5kIERhdGUpopRnMuuW3QgWp+CU9ZbdCCpDSVFBVkcuJFVTREpQWS5JUV9MQVNUU0FMRVBSSUNFLi42LzMwLzIwMTcFAAAAAAAAAAgAAAASKEludmFsaWQgRW5kIERhdGUpopRnMuuW3QgWp+CU9ZbdCCpDSVFBVkcuJFVTREpQWS5JUV9MQVNUU0FMRVBSSUNFLi45LzMwLzIwMTUFAAAAAAAAAAgAAAASKEludmFsaWQgRW5kIERhdGUpopRnMuuW3QgBzuCU9ZbdCCpDSVFBVkcuJFVTREpQWS5JUV9MQVNUU0FMRVBSSUNFLi4zLzMxLzIwMTYFAAAAAAAAAAgAAAASKEludmFsaWQgRW5kIERhdGUpopRnMuuW3QgBzuCU9ZbdCCpDSVFBVkcuJFVTREpQWS5JUV9MQVNUU0FMRVBSSUNFLi42LzMwLzIwMTYFAAAAAAAAAAgAAAASKEludmFsaWQgRW5kIERhdGUpopRnMuuW3QgBzuCU9ZbdCCpDSVFBVkcuJFVTREpQWS5JUV9MQVNUU0FMRVBSSUNFLi45LzMwLzIwMTQFAAAAAAAAAAgAAAASKEludmFsaWQgRW5kIERhdGUpopRnMuuW3QgBzuCU9ZbdCCpDSVFBVkcuJFVTREpQWS5JUV9MQVNUU0FMRVBSSUNFLi4zLzMxLzIwMTUFAAAAAAAAAAgAAAASKEludmFsaWQgRW5kIERhdGUpopRnMuuW3QgBzuCU9ZbdCCpDSVFBVkcuJFVTREpQWS5JUV9MQVNUU0FMRVBSSUNFLi42LzMwLzIwMTUFAAAAAAAAAAgAAAASKEludmFsaWQgRW5kIERhdGUpopRnMuuW3QgB</t>
  </si>
  <si>
    <t>zuCU9ZbdCCpDSVFBVkcuJFVTREpQWS5JUV9MQVNUU0FMRVBSSUNFLi45LzMwLzIwMTMFAAAAAAAAAAgAAAASKEludmFsaWQgRW5kIERhdGUpopRnMuuW3QgBzuCU9ZbdCCpDSVFBVkcuJFVTREpQWS5JUV9MQVNUU0FMRVBSSUNFLi4zLzMxLzIwMTQFAAAAAAAAAAgAAAASKEludmFsaWQgRW5kIERhdGUpopRnMuuW3Qjy9OCU9ZbdCCpDSVFBVkcuJFVTREpQWS5JUV9MQVNUU0FMRVBSSUNFLi42LzMwLzIwMTQFAAAAAAAAAAgAAAASKEludmFsaWQgRW5kIERhdGUpopRnMuuW3Qjy9OCU9ZbdCCpDSVFBVkcuJFVTREpQWS5JUV9MQVNUU0FMRVBSSUNFLi45LzMwLzIwMTIFAAAAAAAAAAgAAAASKEludmFsaWQgRW5kIERhdGUpopRnMuuW3Qjy9OCU9ZbdCCpDSVFBVkcuJFVTREpQWS5JUV9MQVNUU0FMRVBSSUNFLi4zLzMxLzIwMTMFAAAAAAAAAAgAAAASKEludmFsaWQgRW5kIERhdGUp/LtnMuuW3Qjy9OCU9ZbdCCpDSVFBVkcuJFVTREpQWS5JUV9MQVNUU0FMRVBSSUNFLi42LzMwLzIwMTMFAAAAAAAAAAgAAAASKEludmFsaWQgRW5kIERhdGUp/LtnMuuW3Qjy9OCU9ZbdCCpDSVFBVkcuJFVTREpQWS5JUV9MQVNUU0FMRVBSSUNFLi45LzMwLzIwMTEFAAAAAAAAAAgAAAASKEludmFsaWQgRW5kIERhdGUp/LtnMuuW3Qjy9OCU9ZbdCCtDSVFBVkcuJFVTREpQWS5JUV9MQVNUU0FMRVBSSUNFLi4xMi8zMS8yMDEx</t>
  </si>
  <si>
    <t>BQAAAAAAAAAIAAAAEihJbnZhbGlkIEVuZCBEYXRlKfy7ZzLrlt0I8vTglPWW3QgqQ0lRQVZHLiRVU0RKUFkuSVFfTEFTVFNBTEVQUklDRS4uMy8zMS8yMDEyBQAAAAAAAAAIAAAAEihJbnZhbGlkIEVuZCBEYXRlKfy7ZzLrlt0I8vTglPWW3QgqQ0lRQVZHLiRVU0RKUFkuSVFfTEFTVFNBTEVQUklDRS4uNi8zMC8yMDEyBQAAAAAAAAAIAAAAEihJbnZhbGlkIEVuZCBEYXRlKfy7ZzLrlt0I8vTglPWW3QgqQ0lRQVZHLiRVU0RKUFkuSVFfTEFTVFNBTEVQUklDRS4uOS8zMC8yMDEwBQAAAAAAAAAIAAAAEihJbnZhbGlkIEVuZCBEYXRlKfy7ZzLrlt0I8vTglPWW3QgrQ0lRQVZHLiRVU0RKUFkuSVFfTEFTVFNBTEVQUklDRS4uMTIvMzEvMjAxMAUAAAAAAAAACAAAABIoSW52YWxpZCBFbmQgRGF0ZSn8u2cy65bdCOkb4ZT1lt0IKkNJUUFWRy4kVVNESlBZLklRX0xBU1RTQUxFUFJJQ0UuLjMvMzEvMjAxMQUAAAAAAAAACAAAABIoSW52YWxpZCBFbmQgRGF0ZSn8u2cy65bdCOkb4ZT1lt0IKkNJUUFWRy4kVVNESlBZLklRX0xBU1RTQUxFUFJJQ0UuLjYvMzAvMjAxMQUAAAAAAAAACAAAABIoSW52YWxpZCBFbmQgRGF0ZSn8u2cy65bdCOkb4ZT1lt0IK0NJUUFWRy4kVVNERVVSLklRX0xBU1RTQUxFUFJJQ0UuLjEyLzMxLzIwMjIFAAAAAAAAAAgAAAASKEludmFsaWQgRW5kIERhdGUp/LtnMuuW3QjIkOGU9ZbdCCtD</t>
  </si>
  <si>
    <t>SVFBVkcuJFVTREVVUi5JUV9MQVNUU0FMRVBSSUNFLi4xMi8zMS8yMDIzBQAAAAAAAAAIAAAAEihJbnZhbGlkIEVuZCBEYXRlKfy7ZzLrlt0IyJDhlPWW3QgqQ0lRQVZHLiRVU0RKUFkuSVFfTEFTVFNBTEVQUklDRS4uNi8zMC8yMDEwBQAAAAAAAAAIAAAAEihJbnZhbGlkIEVuZCBEYXRlKfy7ZzLrlt0I6RvhlPWW3QgrQ0lRQVZHLiRVU0RFVVIuSVFfTEFTVFNBTEVQUklDRS4uMTIvMzEvMjAxOAUAAAAAAAAACAAAABIoSW52YWxpZCBFbmQgRGF0ZSn8u2cy65bdCKPA4ZT1lt0IK0NJUUFWRy4kVVNERVVSLklRX0xBU1RTQUxFUFJJQ0UuLjEyLzMxLzIwMTkFAAAAAAAAAAgAAAASKEludmFsaWQgRW5kIERhdGUp/LtnMuuW3QijwOGU9ZbdCCtDSVFBVkcuJFVTREVVUi5JUV9MQVNUU0FMRVBSSUNFLi4xMi8zMS8yMDIwBQAAAAAAAAAIAAAAEihJbnZhbGlkIEVuZCBEYXRlKfy7ZzLrlt0Io8DhlPWW3QgrQ0lRQVZHLiRVU0RFVVIuSVFfTEFTVFNBTEVQUklDRS4uMTIvMzEvMjAyMQUAAAAAAAAACAAAABIoSW52YWxpZCBFbmQgRGF0ZSn8u2cy65bdCMiQ4ZT1lt0IK0NJUUFWRy4kVVNERVVSLklRX0xBU1RTQUxFUFJJQ0UuLjEyLzMxLzIwMTQFAAAAAAAAAAgAAAASKEludmFsaWQgRW5kIERhdGUp/LtnMuuW3QgAEOKU9ZbdCCtDSVFBVkcuJFVTREVVUi5JUV9MQVNUU0FMRVBSSUNFLi4xMi8zMS8yMDE1BQAA</t>
  </si>
  <si>
    <t>AAAAAAAIAAAAEihJbnZhbGlkIEVuZCBEYXRlKfy7ZzLrlt0IABDilPWW3QgrQ0lRQVZHLiRVU0RFVVIuSVFfTEFTVFNBTEVQUklDRS4uMTIvMzEvMjAxNgUAAAAAAAAACAAAABIoSW52YWxpZCBFbmQgRGF0ZSn8u2cy65bdCL7o4ZT1lt0IK0NJUUFWRy4kVVNERVVSLklRX0xBU1RTQUxFUFJJQ0UuLjEyLzMxLzIwMTcFAAAAAAAAAAgAAAASKEludmFsaWQgRW5kIERhdGUp/LtnMuuW3Qi+6OGU9ZbdCCtDSVFBVkcuJFVTREVVUi5JUV9MQVNUU0FMRVBSSUNFLi4xMi8zMS8yMDEyBQAAAAAAAAAIAAAAEihJbnZhbGlkIEVuZCBEYXRlKfy7ZzLrlt0IiDXilPWW3QgrQ0lRQVZHLiRVU0RFVVIuSVFfTEFTVFNBTEVQUklDRS4uMTIvMzEvMjAxMwUAAAAAAAAACAAAABIoSW52YWxpZCBFbmQgRGF0ZSn8u2cy65bdCAAQ4pT1lt0IK0NJUUFWRy4kVVNERVVSLklRX0xBU1RTQUxFUFJJQ0UuLjEyLzMxLzIwMjQFAAAAAAAAAAgAAAASKEludmFsaWQgRW5kIERhdGUp/LtnMuuW3QjWaeGU9ZbdCCpDSVFBVkcuJFVTREVVUi5JUV9MQVNUU0FMRVBSSUNFLi4zLzMxLzIwMjQFAAAAAAAAAAgAAAASKEludmFsaWQgRW5kIERhdGUp/LtnMuuW3QjWaeGU9ZbdCCpDSVFBVkcuJFVTREVVUi5JUV9MQVNUU0FMRVBSSUNFLi42LzMwLzIwMjQFAAAAAAAAAAgAAAASKEludmFsaWQgRW5kIERhdGUp/LtnMuuW3QjWaeGU9ZbdCCpD</t>
  </si>
  <si>
    <t>SVFBVkcuJFVTREVVUi5JUV9MQVNUU0FMRVBSSUNFLi45LzMwLzIwMjQFAAAAAAAAAAgAAAASKEludmFsaWQgRW5kIERhdGUp/LtnMuuW3QjWaeGU9ZbdCCpDSVFBVkcuJFVTREVVUi5JUV9MQVNUU0FMRVBSSUNFLi4zLzMxLzIwMjMFAAAAAAAAAAgAAAASKEludmFsaWQgRW5kIERhdGUp/LtnMuuW3QjWaeGU9ZbdCCpDSVFBVkcuJFVTREVVUi5JUV9MQVNUU0FMRVBSSUNFLi42LzMwLzIwMjMFAAAAAAAAAAgAAAASKEludmFsaWQgRW5kIERhdGUp/LtnMuuW3QjWaeGU9ZbdCCpDSVFBVkcuJFVTREVVUi5JUV9MQVNUU0FMRVBSSUNFLi45LzMwLzIwMjMFAAAAAAAAAAgAAAASKEludmFsaWQgRW5kIERhdGUp/LtnMuuW3QjWaeGU9ZbdCCpDSVFBVkcuJFVTREVVUi5JUV9MQVNUU0FMRVBSSUNFLi4zLzMxLzIwMjIFAAAAAAAAAAgAAAASKEludmFsaWQgRW5kIERhdGUp/LtnMuuW3QjIkOGU9ZbdCCpDSVFBVkcuJFVTREVVUi5JUV9MQVNUU0FMRVBSSUNFLi42LzMwLzIwMjIFAAAAAAAAAAgAAAASKEludmFsaWQgRW5kIERhdGUp/LtnMuuW3QjIkOGU9ZbdCCpDSVFBVkcuJFVTREVVUi5JUV9MQVNUU0FMRVBSSUNFLi45LzMwLzIwMjIFAAAAAAAAAAgAAAASKEludmFsaWQgRW5kIERhdGUp/LtnMuuW3QjIkOGU9ZbdCCpDSVFBVkcuJFVTREVVUi5JUV9MQVNUU0FMRVBSSUNFLi4zLzMxLzIwMjEFAAAAAAAAAAgA</t>
  </si>
  <si>
    <t>AAASKEludmFsaWQgRW5kIERhdGUp/LtnMuuW3QjIkOGU9ZbdCCpDSVFBVkcuJFVTREVVUi5JUV9MQVNUU0FMRVBSSUNFLi42LzMwLzIwMjEFAAAAAAAAAAgAAAASKEludmFsaWQgRW5kIERhdGUp/LtnMuuW3QjIkOGU9ZbdCCpDSVFBVkcuJFVTREVVUi5JUV9MQVNUU0FMRVBSSUNFLi45LzMwLzIwMjEFAAAAAAAAAAgAAAASKEludmFsaWQgRW5kIERhdGUp/LtnMuuW3QjIkOGU9ZbdCCpDSVFBVkcuJFVTREVVUi5JUV9MQVNUU0FMRVBSSUNFLi4zLzMxLzIwMjAFAAAAAAAAAAgAAAASKEludmFsaWQgRW5kIERhdGUp/LtnMuuW3QjIkOGU9ZbdCCpDSVFBVkcuJFVTREVVUi5JUV9MQVNUU0FMRVBSSUNFLi42LzMwLzIwMjAFAAAAAAAAAAgAAAASKEludmFsaWQgRW5kIERhdGUp/LtnMuuW3QjIkOGU9ZbdCCpDSVFBVkcuJFVTREVVUi5JUV9MQVNUU0FMRVBSSUNFLi45LzMwLzIwMjAFAAAAAAAAAAgAAAASKEludmFsaWQgRW5kIERhdGUp/LtnMuuW3QgCuuGU9ZbdCCpDSVFBVkcuJFVTREVVUi5JUV9MQVNUU0FMRVBSSUNFLi4zLzMxLzIwMTkFAAAAAAAAAAgAAAASKEludmFsaWQgRW5kIERhdGUp/LtnMuuW3QijwOGU9ZbdCCpDSVFBVkcuJFVTREVVUi5JUV9MQVNUU0FMRVBSSUNFLi42LzMwLzIwMTkFAAAAAAAAAAgAAAASKEludmFsaWQgRW5kIERhdGUp/LtnMuuW3QijwOGU9ZbdCCpDSVFBVkcuJFVTREVV</t>
  </si>
  <si>
    <t>Ui5JUV9MQVNUU0FMRVBSSUNFLi45LzMwLzIwMTkFAAAAAAAAAAgAAAASKEludmFsaWQgRW5kIERhdGUp/LtnMuuW3QijwOGU9ZbdCCpDSVFBVkcuJFVTREVVUi5JUV9MQVNUU0FMRVBSSUNFLi4zLzMxLzIwMTgFAAAAAAAAAAgAAAASKEludmFsaWQgRW5kIERhdGUp/LtnMuuW3QijwOGU9ZbdCCpDSVFBVkcuJFVTREVVUi5JUV9MQVNUU0FMRVBSSUNFLi42LzMwLzIwMTgFAAAAAAAAAAgAAAASKEludmFsaWQgRW5kIERhdGUp/LtnMuuW3QijwOGU9ZbdCCpDSVFBVkcuJFVTREVVUi5JUV9MQVNUU0FMRVBSSUNFLi45LzMwLzIwMTgFAAAAAAAAAAgAAAASKEludmFsaWQgRW5kIERhdGUp/LtnMuuW3QijwOGU9ZbdCCpDSVFBVkcuJFVTREVVUi5JUV9MQVNUU0FMRVBSSUNFLi4zLzMxLzIwMTcFAAAAAAAAAAgAAAASKEludmFsaWQgRW5kIERhdGUp/LtnMuuW3QijwOGU9ZbdCCpDSVFBVkcuJFVTREVVUi5JUV9MQVNUU0FMRVBSSUNFLi42LzMwLzIwMTcFAAAAAAAAAAgAAAASKEludmFsaWQgRW5kIERhdGUp/LtnMuuW3Qi+6OGU9ZbdCCpDSVFBVkcuJFVTREVVUi5JUV9MQVNUU0FMRVBSSUNFLi45LzMwLzIwMTcFAAAAAAAAAAgAAAASKEludmFsaWQgRW5kIERhdGUp/LtnMuuW3Qi+6OGU9ZbdCCpDSVFBVkcuJFVTREVVUi5JUV9MQVNUU0FMRVBSSUNFLi4zLzMxLzIwMTYFAAAAAAAAAAgAAAASKEludmFsaWQg</t>
  </si>
  <si>
    <t>RW5kIERhdGUp/LtnMuuW3Qi+6OGU9ZbdCCpDSVFBVkcuJFVTREVVUi5JUV9MQVNUU0FMRVBSSUNFLi42LzMwLzIwMTYFAAAAAAAAAAgAAAASKEludmFsaWQgRW5kIERhdGUp/LtnMuuW3Qi+6OGU9ZbdCCpDSVFBVkcuJFVTREVVUi5JUV9MQVNUU0FMRVBSSUNFLi45LzMwLzIwMTYFAAAAAAAAAAgAAAASKEludmFsaWQgRW5kIERhdGUp/LtnMuuW3Qi+6OGU9ZbdCCpDSVFBVkcuJFVTREVVUi5JUV9MQVNUU0FMRVBSSUNFLi4zLzMxLzIwMTUFAAAAAAAAAAgAAAASKEludmFsaWQgRW5kIERhdGUp/LtnMuuW3Qi+6OGU9ZbdCCpDSVFBVkcuJFVTREVVUi5JUV9MQVNUU0FMRVBSSUNFLi42LzMwLzIwMTUFAAAAAAAAAAgAAAASKEludmFsaWQgRW5kIERhdGUp/LtnMuuW3Qi+6OGU9ZbdCCpDSVFBVkcuJFVTREVVUi5JUV9MQVNUU0FMRVBSSUNFLi45LzMwLzIwMTUFAAAAAAAAAAgAAAASKEludmFsaWQgRW5kIERhdGUp/LtnMuuW3QgAEOKU9ZbdCCpDSVFBVkcuJFVTREVVUi5JUV9MQVNUU0FMRVBSSUNFLi4zLzMxLzIwMTQFAAAAAAAAAAgAAAASKEludmFsaWQgRW5kIERhdGUp/LtnMuuW3QgAEOKU9ZbdCCpDSVFBVkcuJFVTREVVUi5JUV9MQVNUU0FMRVBSSUNFLi42LzMwLzIwMTQFAAAAAAAAAAgAAAASKEludmFsaWQgRW5kIERhdGUp/LtnMuuW3QgAEOKU9ZbdCCpDSVFBVkcuJFVTREVVUi5JUV9MQVNUU0FM</t>
  </si>
  <si>
    <t>RVBSSUNFLi45LzMwLzIwMTQFAAAAAAAAAAgAAAASKEludmFsaWQgRW5kIERhdGUp/LtnMuuW3QgAEOKU9ZbdCCpDSVFBVkcuJFVTREVVUi5JUV9MQVNUU0FMRVBSSUNFLi4zLzMxLzIwMTMFAAAAAAAAAAgAAAASKEludmFsaWQgRW5kIERhdGUp/LtnMuuW3QgAEOKU9ZbdCCpDSVFBVkcuJFVTREVVUi5JUV9MQVNUU0FMRVBSSUNFLi42LzMwLzIwMTMFAAAAAAAAAAgAAAASKEludmFsaWQgRW5kIERhdGUp/LtnMuuW3QgAEOKU9ZbdCCpDSVFBVkcuJFVTREVVUi5JUV9MQVNUU0FMRVBSSUNFLi45LzMwLzIwMTMFAAAAAAAAAAgAAAASKEludmFsaWQgRW5kIERhdGUp/LtnMuuW3QgAEOKU9ZbdCCpDSVFBVkcuJFVTREVVUi5JUV9MQVNUU0FMRVBSSUNFLi4zLzMxLzIwMTIFAAAAAAAAAAgAAAASKEludmFsaWQgRW5kIERhdGUp/LtnMuuW3QiINeKU9ZbdCCpDSVFBVkcuJFVTREVVUi5JUV9MQVNUU0FMRVBSSUNFLi42LzMwLzIwMTIFAAAAAAAAAAgAAAASKEludmFsaWQgRW5kIERhdGUp/LtnMuuW3QiINeKU9ZbdCCpDSVFBVkcuJFVTREVVUi5JUV9MQVNUU0FMRVBSSUNFLi45LzMwLzIwMTIFAAAAAAAAAAgAAAASKEludmFsaWQgRW5kIERhdGUp/LtnMuuW3QiINeKU9ZbdCCpDSVFBVkcuJFVTREVVUi5JUV9MQVNUU0FMRVBSSUNFLi4zLzMxLzIwMTEFAAAAAAAAAAgAAAASKEludmFsaWQgRW5kIERhdGUp/Ltn</t>
  </si>
  <si>
    <t>MuuW3QiINeKU9ZbdCCpDSVFBVkcuJFVTREVVUi5JUV9MQVNUU0FMRVBSSUNFLi42LzMwLzIwMTEFAAAAAAAAAAgAAAASKEludmFsaWQgRW5kIERhdGUp/LtnMuuW3QiINeKU9ZbdCCpDSVFBVkcuJFVTREVVUi5JUV9MQVNUU0FMRVBSSUNFLi45LzMwLzIwMTEFAAAAAAAAAAgAAAASKEludmFsaWQgRW5kIERhdGUp/LtnMuuW3QiINeKU9ZbdCCtDSVFBVkcuJFVTREVVUi5JUV9MQVNUU0FMRVBSSUNFLi4xMi8zMS8yMDExBQAAAAAAAAAIAAAAEihJbnZhbGlkIEVuZCBEYXRlKfy7ZzLrlt0IiDXilPWW3QgqQ0lRQVZHLiRVU0RFVVIuSVFfTEFTVFNBTEVQUklDRS4uNi8zMC8yMDEwBQAAAAAAAAAIAAAAEihJbnZhbGlkIEVuZCBEYXRlKfy7ZzLrlt0IiDXilPWW3QgqQ0lRQVZHLiRVU0RFVVIuSVFfTEFTVFNBTEVQUklDRS4uOS8zMC8yMDEwBQAAAAAAAAAIAAAAEihJbnZhbGlkIEVuZCBEYXRlKfy7ZzLrlt0InF3ilPWW3QgrQ0lRQVZHLiRVU0RFVVIuSVFfTEFTVFNBTEVQUklDRS4uMTIvMzEvMjAxMAUAAAAAAAAACAAAABIoSW52YWxpZCBFbmQgRGF0ZSn8u2cy65bdCJxd4pT1lt0IK0NJUUFWRy4kVVNER0JQLklRX0xBU1RTQUxFUFJJQ0UuLjEyLzMxLzIwMjAFAAAAAAAAAAgAAAASKEludmFsaWQgRW5kIERhdGUp/LtnMuuW3QiN0uKU9ZbdCCtDSVFBVkcuJFVTREdCUC5JUV9MQVNUU0FMRVBSSUNFLi4x</t>
  </si>
  <si>
    <t>Mi8zMS8yMDIxBQAAAAAAAAAIAAAAEihJbnZhbGlkIEVuZCBEYXRlKfy7ZzLrlt0IjdLilPWW3QgrQ0lRQVZHLiRVU0RHQlAuSVFfTEFTVFNBTEVQUklDRS4uMTIvMzEvMjAyMgUAAAAAAAAACAAAABIoSW52YWxpZCBFbmQgRGF0ZSn8u2cy65bdCCus4pT1lt0IK0NJUUFWRy4kVVNER0JQLklRX0xBU1RTQUxFUFJJQ0UuLjEyLzMxLzIwMjMFAAAAAAAAAAgAAAASKEludmFsaWQgRW5kIERhdGUp/LtnMuuW3QgrrOKU9ZbdCCtDSVFBVkcuJFVTREdCUC5JUV9MQVNUU0FMRVBSSUNFLi4xMi8zMS8yMDE2BQAAAAAAAAAIAAAAEihJbnZhbGlkIEVuZCBEYXRlKfy7ZzLrlt0IjSnjlPWW3QgrQ0lRQVZHLiRVU0RHQlAuSVFfTEFTVFNBTEVQUklDRS4uMTIvMzEvMjAxNwUAAAAAAAAACAAAABIoSW52YWxpZCBFbmQgRGF0ZSn8u2cy65bdCHoB45T1lt0IK0NJUUFWRy4kVVNER0JQLklRX0xBU1RTQUxFUFJJQ0UuLjEyLzMxLzIwMTgFAAAAAAAAAAgAAAASKEludmFsaWQgRW5kIERhdGUp/LtnMuuW3Qh6AeOU9ZbdCCtDSVFBVkcuJFVTREdCUC5JUV9MQVNUU0FMRVBSSUNFLi4xMi8zMS8yMDE5BQAAAAAAAAAIAAAAEihJbnZhbGlkIEVuZCBEYXRlKfy7ZzLrlt0IhvzilPWW3QgrQ0lRQVZHLiRVU0RHQlAuSVFfTEFTVFNBTEVQUklDRS4uMTIvMzEvMjAxMgUAAAAAAAAACAAAABIoSW52YWxpZCBFbmQgRGF0ZSn8u2cy</t>
  </si>
  <si>
    <t>65bdCIFQ45T1lt0IK0NJUUFWRy4kVVNER0JQLklRX0xBU1RTQUxFUFJJQ0UuLjEyLzMxLzIwMTMFAAAAAAAAAAgAAAASKEludmFsaWQgRW5kIERhdGUp/LtnMuuW3QiBUOOU9ZbdCCtDSVFBVkcuJFVTREdCUC5JUV9MQVNUU0FMRVBSSUNFLi4xMi8zMS8yMDE0BQAAAAAAAAAIAAAAEihJbnZhbGlkIEVuZCBEYXRlKfy7ZzLrlt0IjSnjlPWW3QgrQ0lRQVZHLiRVU0RHQlAuSVFfTEFTVFNBTEVQUklDRS4uMTIvMzEvMjAxNQUAAAAAAAAACAAAABIoSW52YWxpZCBFbmQgRGF0ZSn8u2cy65bdCI0p45T1lt0IKkNJUUFWRy4kVVNER0JQLklRX0xBU1RTQUxFUFJJQ0UuLjkvMzAvMjAyNAUAAAAAAAAACAAAABIoSW52YWxpZCBFbmQgRGF0ZSn8u2cy65bdCI2E4pT1lt0IK0NJUUFWRy4kVVNER0JQLklRX0xBU1RTQUxFUFJJQ0UuLjEyLzMxLzIwMjQFAAAAAAAAAAgAAAASKEludmFsaWQgRW5kIERhdGUp/LtnMuuW3QiNhOKU9ZbdCCpDSVFBVkcuJFVTREdCUC5JUV9MQVNUU0FMRVBSSUNFLi45LzMwLzIwMjMFAAAAAAAAAAgAAAASKEludmFsaWQgRW5kIERhdGUp/LtnMuuW3QgrrOKU9ZbdCCpDSVFBVkcuJFVTREdCUC5JUV9MQVNUU0FMRVBSSUNFLi4zLzMxLzIwMjQFAAAAAAAAAAgAAAASKEludmFsaWQgRW5kIERhdGUp/LtnMuuW3QgrrOKU9ZbdCCpDSVFBVkcuJFVTREdCUC5JUV9MQVNUU0FMRVBSSUNFLi42</t>
  </si>
  <si>
    <t>LzMwLzIwMjQFAAAAAAAAAAgAAAASKEludmFsaWQgRW5kIERhdGUp/LtnMuuW3QgrrOKU9ZbdCCpDSVFBVkcuJFVTREdCUC5JUV9MQVNUU0FMRVBSSUNFLi45LzMwLzIwMjIFAAAAAAAAAAgAAAASKEludmFsaWQgRW5kIERhdGUp/LtnMuuW3QgrrOKU9ZbdCCpDSVFBVkcuJFVTREdCUC5JUV9MQVNUU0FMRVBSSUNFLi4zLzMxLzIwMjMFAAAAAAAAAAgAAAASKEludmFsaWQgRW5kIERhdGUp/LtnMuuW3QgrrOKU9ZbdCCpDSVFBVkcuJFVTREdCUC5JUV9MQVNUU0FMRVBSSUNFLi42LzMwLzIwMjMFAAAAAAAAAAgAAAASKEludmFsaWQgRW5kIERhdGUp/LtnMuuW3QiN0uKU9ZbdCCpDSVFBVkcuJFVTREdCUC5JUV9MQVNUU0FMRVBSSUNFLi45LzMwLzIwMjEFAAAAAAAAAAgAAAASKEludmFsaWQgRW5kIERhdGUp/LtnMuuW3QiN0uKU9ZbdCCpDSVFBVkcuJFVTREdCUC5JUV9MQVNUU0FMRVBSSUNFLi4zLzMxLzIwMjIFAAAAAAAAAAgAAAASKEludmFsaWQgRW5kIERhdGUp/LtnMuuW3QiN0uKU9ZbdCCpDSVFBVkcuJFVTREdCUC5JUV9MQVNUU0FMRVBSSUNFLi42LzMwLzIwMjIFAAAAAAAAAAgAAAASKEludmFsaWQgRW5kIERhdGUp/LtnMuuW3QiN0uKU9ZbdCCpDSVFBVkcuJFVTREdCUC5JUV9MQVNUU0FMRVBSSUNFLi45LzMwLzIwMjAFAAAAAAAAAAgAAAASKEludmFsaWQgRW5kIERhdGUp/LtnMuuW3QiN0uKU</t>
  </si>
  <si>
    <t>9ZbdCCpDSVFBVkcuJFVTREdCUC5JUV9MQVNUU0FMRVBSSUNFLi4zLzMxLzIwMjEFAAAAAAAAAAgAAAASKEludmFsaWQgRW5kIERhdGUp/LtnMuuW3QiN0uKU9ZbdCCpDSVFBVkcuJFVTREdCUC5JUV9MQVNUU0FMRVBSSUNFLi42LzMwLzIwMjEFAAAAAAAAAAgAAAASKEludmFsaWQgRW5kIERhdGUp/LtnMuuW3QiN0uKU9ZbdCCpDSVFBVkcuJFVTREdCUC5JUV9MQVNUU0FMRVBSSUNFLi45LzMwLzIwMTkFAAAAAAAAAAgAAAASKEludmFsaWQgRW5kIERhdGUp/LtnMuuW3QiN0uKU9ZbdCCpDSVFBVkcuJFVTREdCUC5JUV9MQVNUU0FMRVBSSUNFLi4zLzMxLzIwMjAFAAAAAAAAAAgAAAASKEludmFsaWQgRW5kIERhdGUp/LtnMuuW3QiG/OKU9ZbdCCpDSVFBVkcuJFVTREdCUC5JUV9MQVNUU0FMRVBSSUNFLi42LzMwLzIwMjAFAAAAAAAAAAgAAAASKEludmFsaWQgRW5kIERhdGUp/LtnMuuW3Qh6AeOU9ZbdCCpDSVFBVkcuJFVTREdCUC5JUV9MQVNUU0FMRVBSSUNFLi45LzMwLzIwMTgFAAAAAAAAAAgAAAASKEludmFsaWQgRW5kIERhdGUp/LtnMuuW3Qh6AeOU9ZbdCCpDSVFBVkcuJFVTREdCUC5JUV9MQVNUU0FMRVBSSUNFLi4zLzMxLzIwMTkFAAAAAAAAAAgAAAASKEludmFsaWQgRW5kIERhdGUp/LtnMuuW3Qh6AeOU9ZbdCCpDSVFBVkcuJFVTREdCUC5JUV9MQVNUU0FMRVBSSUNFLi42LzMwLzIwMTkFAAAA</t>
  </si>
  <si>
    <t>AAAAAAgAAAASKEludmFsaWQgRW5kIERhdGUp/LtnMuuW3Qh6AeOU9ZbdCCpDSVFBVkcuJFVTREdCUC5JUV9MQVNUU0FMRVBSSUNFLi45LzMwLzIwMTcFAAAAAAAAAAgAAAASKEludmFsaWQgRW5kIERhdGUp/LtnMuuW3Qh6AeOU9ZbdCCpDSVFBVkcuJFVTREdCUC5JUV9MQVNUU0FMRVBSSUNFLi4zLzMxLzIwMTgFAAAAAAAAAAgAAAASKEludmFsaWQgRW5kIERhdGUp/LtnMuuW3Qh6AeOU9ZbdCCpDSVFBVkcuJFVTREdCUC5JUV9MQVNUU0FMRVBSSUNFLi42LzMwLzIwMTgFAAAAAAAAAAgAAAASKEludmFsaWQgRW5kIERhdGUp/LtnMuuW3Qh6AeOU9ZbdCCpDSVFBVkcuJFVTREdCUC5JUV9MQVNUU0FMRVBSSUNFLi45LzMwLzIwMTYFAAAAAAAAAAgAAAASKEludmFsaWQgRW5kIERhdGUp/LtnMuuW3Qh6AeOU9ZbdCCpDSVFBVkcuJFVTREdCUC5JUV9MQVNUU0FMRVBSSUNFLi4zLzMxLzIwMTcFAAAAAAAAAAgAAAASKEludmFsaWQgRW5kIERhdGUp/LtnMuuW3QiNKeOU9ZbdCCpDSVFBVkcuJFVTREdCUC5JUV9MQVNUU0FMRVBSSUNFLi42LzMwLzIwMTcFAAAAAAAAAAgAAAASKEludmFsaWQgRW5kIERhdGUp/LtnMuuW3QiNKeOU9ZbdCCpDSVFBVkcuJFVTREdCUC5JUV9MQVNUU0FMRVBSSUNFLi45LzMwLzIwMTUFAAAAAAAAAAgAAAASKEludmFsaWQgRW5kIERhdGUp/LtnMuuW3QiNKeOU9ZbdCCpDSVFBVkcu</t>
  </si>
  <si>
    <t>JFVTREdCUC5JUV9MQVNUU0FMRVBSSUNFLi4zLzMxLzIwMTYFAAAAAAAAAAgAAAASKEludmFsaWQgRW5kIERhdGUp/LtnMuuW3QiNKeOU9ZbdCCpDSVFBVkcuJFVTREdCUC5JUV9MQVNUU0FMRVBSSUNFLi42LzMwLzIwMTYFAAAAAAAAAAgAAAASKEludmFsaWQgRW5kIERhdGUp/LtnMuuW3QiNKeOU9ZbdCCpDSVFBVkcuJFVTREdCUC5JUV9MQVNUU0FMRVBSSUNFLi45LzMwLzIwMTQFAAAAAAAAAAgAAAASKEludmFsaWQgRW5kIERhdGUp/LtnMuuW3QiNKeOU9ZbdCCpDSVFBVkcuJFVTREdCUC5JUV9MQVNUU0FMRVBSSUNFLi4zLzMxLzIwMTUFAAAAAAAAAAgAAAASKEludmFsaWQgRW5kIERhdGUp/LtnMuuW3QiNKeOU9ZbdCCpDSVFBVkcuJFVTREdCUC5JUV9MQVNUU0FMRVBSSUNFLi42LzMwLzIwMTUFAAAAAAAAAAgAAAASKEludmFsaWQgRW5kIERhdGUp/LtnMuuW3QiBUOOU9ZbdCCpDSVFBVkcuJFVTREdCUC5JUV9MQVNUU0FMRVBSSUNFLi45LzMwLzIwMTMFAAAAAAAAAAgAAAASKEludmFsaWQgRW5kIERhdGUp/LtnMuuW3QiBUOOU9ZbdCCpDSVFBVkcuJFVTREdCUC5JUV9MQVNUU0FMRVBSSUNFLi4zLzMxLzIwMTQFAAAAAAAAAAgAAAASKEludmFsaWQgRW5kIERhdGUp/LtnMuuW3QiBUOOU9ZbdCCpDSVFBVkcuJFVTREdCUC5JUV9MQVNUU0FMRVBSSUNFLi42LzMwLzIwMTQFAAAAAAAAAAgAAAASKElu</t>
  </si>
  <si>
    <t>dmFsaWQgRW5kIERhdGUp/LtnMuuW3QiBUOOU9ZbdCCpDSVFBVkcuJFVTREdCUC5JUV9MQVNUU0FMRVBSSUNFLi45LzMwLzIwMTIFAAAAAAAAAAgAAAASKEludmFsaWQgRW5kIERhdGUp/LtnMuuW3QiBUOOU9ZbdCCpDSVFBVkcuJFVTREdCUC5JUV9MQVNUU0FMRVBSSUNFLi4zLzMxLzIwMTMFAAAAAAAAAAgAAAASKEludmFsaWQgRW5kIERhdGUp/LtnMuuW3QiBUOOU9ZbdCCpDSVFBVkcuJFVTREdCUC5JUV9MQVNUU0FMRVBSSUNFLi42LzMwLzIwMTMFAAAAAAAAAAgAAAASKEludmFsaWQgRW5kIERhdGUp/LtnMuuW3QiBUOOU9ZbdCCpDSVFBVkcuJFVTREdCUC5JUV9MQVNUU0FMRVBSSUNFLi45LzMwLzIwMTEFAAAAAAAAAAgAAAASKEludmFsaWQgRW5kIERhdGUp/LtnMuuW3QiBUOOU9ZbdCCtDSVFBVkcuJFVTREdCUC5JUV9MQVNUU0FMRVBSSUNFLi4xMi8zMS8yMDExBQAAAAAAAAAIAAAAEihJbnZhbGlkIEVuZCBEYXRlKfy7ZzLrlt0IjHfjlPWW3QgqQ0lRQVZHLiRVU0RHQlAuSVFfTEFTVFNBTEVQUklDRS4uMy8zMS8yMDEyBQAAAAAAAAAIAAAAEihJbnZhbGlkIEVuZCBEYXRlKfy7ZzLrlt0IjHfjlPWW3QgqQ0lRQVZHLiRVU0RHQlAuSVFfTEFTVFNBTEVQUklDRS4uNi8zMC8yMDEyBQAAAAAAAAAIAAAAEihJbnZhbGlkIEVuZCBEYXRlKfy7ZzLrlt0IjHfjlPWW3QgqQ0lRQVZHLiRVU0RHQlAuSVFf</t>
  </si>
  <si>
    <t>TEFTVFNBTEVQUklDRS4uOS8zMC8yMDEwBQAAAAAAAAAIAAAAEihJbnZhbGlkIEVuZCBEYXRlKfy7ZzLrlt0IjHfjlPWW3QgrQ0lRQVZHLiRVU0RHQlAuSVFfTEFTVFNBTEVQUklDRS4uMTIvMzEvMjAxMAUAAAAAAAAACAAAABIoSW52YWxpZCBFbmQgRGF0ZSn8u2cy65bdCIx345T1lt0IKkNJUUFWRy4kVVNER0JQLklRX0xBU1RTQUxFUFJJQ0UuLjMvMzEvMjAxMQUAAAAAAAAACAAAABIoSW52YWxpZCBFbmQgRGF0ZSn8u2cy65bdCIx345T1lt0IKkNJUUFWRy4kVVNER0JQLklRX0xBU1RTQUxFUFJJQ0UuLjYvMzAvMjAxMQUAAAAAAAAACAAAABIoSW52YWxpZCBFbmQgRGF0ZSn8u2cy65bdCIx345T1lt0IKkNJUUFWRy4kVVNER0JQLklRX0xBU1RTQUxFUFJJQ0UuLjYvMzAvMjAxMAUAAAAAAAAACAAAABIoSW52YWxpZCBFbmQgRGF0ZSn8u2cy65bdCG6e45T1lt0IJ0NJUS4kVVNER0JQLklRX0xBU1RTQUxFUFJJQ0UuMTIvMzEvMjAyNAEAAAAC7VoAAgAAAAsxLjI1MTkyNDgzNAA2tmuU9ZbdCDRp6pT1lt0IJ0NJUS4kVVNERVVSLklRX0xBU1RTQUxFUFJJQ0UuMTIvMzEvMjAyNAEAAAAC7VoAAgAAAAsxLjAzNTMwMzg2MgA2tmuU9ZbdCDRp6pT1lt0IJ0NJUS4kVVNESU5SLklRX0xBU1RTQUxFUFJJQ0UuMTIvMzEvMjAyNAEAAAAC7VoAAgAAAAswLjAxMTY4NTAyOAA2tmuU9ZbdCCmQ6pT1lt0IJ0NJUS4k</t>
  </si>
  <si>
    <t>VVNESlBZLklRX0xBU1RTQUxFUFJJQ0UuMTIvMzEvMjAyNAEAAAAC7VoAAgAAAAswLjAwNjM2MDUxNAA2tmuU9ZbdCCmQ6pT1lt0IJ0NJUS4kVVNEQlJMLklRX0xBU1RTQUxFUFJJQ0UuMTIvMzEvMjAyNAEAAAAC7VoAAgAAAAswLjE2MTY4NDEwMgA2tmuU9ZbdCCmQ6pT1lt0IJ0NJUS4kVVNEQVVELklRX0xBU1RTQUxFUFJJQ0UuMTIvMzEvMjAyNAEAAAAC7VoAAgAAAAswLjYxODg1MDE3NgA2tmuU9ZbdCCmQ6pT1lt0IHUNJUS4kVVNEQlJMLklRX0xBU1RTQUxFUFJJQ0UuAQAAAALtWgACAAAACzAuMTc3MzQyNjk3AIxqihrslt0IlLFuC/OW3QgdQ0lRLiRVU0RJTlIuSVFfTEFTVFNBTEVQUklDRS4BAAAAAu1aAAIAAAALMC4wMTE3MDc0NjMAjGqKGuyW3QgOyG8L85bdCB1DSVEuJFVTREFVRC5JUV9MQVNUU0FMRVBSSUNFLgEAAAAC7VoAAgAAAAswLjY0NjMyODg1MgCMaooa7JbdCG3+cAvzlt0IHUNJUS4kVVNESlBZLklRX0xBU1RTQUxFUFJJQ0UuAQAAAALtWgACAAAACzAuMDA2OTAzOTMyAIxqihrslt0IT0JyC/OW3QgdQ0lRLiRVU0RFVVIuSVFfTEFTVFNBTEVQUklDRS4BAAAAAu1aAAIAAAALMS4xMjU4NzI1NTEAg5GKGuyW3QgCoXML85bdCB1DSVEuJFVTREdCUC5JUV9MQVNUU0FMRVBSSUNFLgEAAAAC7VoAAgAAAAsxLjMzNjUwNTMwNgCDkYoa7JbdCIPXdAvzlt0IJUNJUS4kVVNER0JQLklRX0x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</si>
</sst>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7" formatCode="&quot;$&quot;#,##0.00_);\(&quot;$&quot;#,##0.00\)"/>
    <numFmt numFmtId="41" formatCode="_(* #,##0_);_(* \(#,##0\);_(* &quot;-&quot;_);_(@_)"/>
    <numFmt numFmtId="43" formatCode="_(* #,##0.00_);_(* \(#,##0.00\);_(* &quot;-&quot;??_);_(@_)"/>
    <numFmt numFmtId="164" formatCode="m/d/yy;@"/>
    <numFmt numFmtId="165" formatCode="#,##0.0%_);\(#,##0.0%\)"/>
    <numFmt numFmtId="166" formatCode="0.0%"/>
    <numFmt numFmtId="167" formatCode="#,##0.0\x_);\(#,##0.0\x\)"/>
    <numFmt numFmtId="168" formatCode="#,##0%_);\(#,##0%\)"/>
    <numFmt numFmtId="169" formatCode="_(* #,##0.00_);_(* \(#,##0.00\);_(* &quot;-&quot;_);_(@_)"/>
    <numFmt numFmtId="170" formatCode="_(* #,##0_);_(* \(#,##0\);_(* &quot;-&quot;??_);_(@_)"/>
    <numFmt numFmtId="171" formatCode="_(* #,##0%_);_(* \(#,##0%\);_(* &quot;-&quot;_);_(@_)"/>
    <numFmt numFmtId="172" formatCode="_(* #,##0.0%_);_(* \(#,##0.0%\);_(* &quot;-&quot;_);_(@_)"/>
    <numFmt numFmtId="173" formatCode="_(* #,##0.0_);_(* \(#,##0.0\);_(* &quot;-&quot;_);_(@_)"/>
    <numFmt numFmtId="174" formatCode="_(* #,##0%_);_(* \(#,##0%\);_(* &quot;-&quot;??_);_(@_)"/>
    <numFmt numFmtId="175" formatCode="_(* #,##0.000_);_(* \(#,##0.000\);_(* &quot;-&quot;_);_(@_)"/>
    <numFmt numFmtId="176" formatCode="_(* #,##0.0\x_);_(* \(#,##0.0\x\);_(* &quot;-&quot;?_);_(@_)"/>
    <numFmt numFmtId="177" formatCode="mm/dd/yy;@"/>
  </numFmts>
  <fonts count="44" x14ac:knownFonts="1">
    <font>
      <sz val="8"/>
      <color theme="1"/>
      <name val="Arial"/>
      <family val="2"/>
    </font>
    <font>
      <sz val="8"/>
      <color theme="1"/>
      <name val="Arial"/>
      <family val="2"/>
    </font>
    <font>
      <sz val="8"/>
      <color rgb="FFFF000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u val="singleAccounting"/>
      <sz val="8"/>
      <color theme="1"/>
      <name val="Arial"/>
      <family val="2"/>
    </font>
    <font>
      <sz val="10"/>
      <color theme="1"/>
      <name val="Arial"/>
      <family val="2"/>
    </font>
    <font>
      <i/>
      <sz val="8"/>
      <name val="Arial"/>
      <family val="2"/>
    </font>
    <font>
      <i/>
      <sz val="8"/>
      <color rgb="FFFF0000"/>
      <name val="Arial"/>
      <family val="2"/>
    </font>
    <font>
      <i/>
      <u/>
      <sz val="8"/>
      <color theme="1"/>
      <name val="Arial"/>
      <family val="2"/>
    </font>
    <font>
      <u val="singleAccounting"/>
      <sz val="8"/>
      <color theme="1"/>
      <name val="Arial"/>
      <family val="2"/>
    </font>
    <font>
      <sz val="8"/>
      <name val="Arial"/>
      <family val="2"/>
    </font>
    <font>
      <u val="singleAccounting"/>
      <sz val="8"/>
      <name val="Arial"/>
      <family val="2"/>
    </font>
    <font>
      <u val="singleAccounting"/>
      <sz val="8"/>
      <color rgb="FFFF0000"/>
      <name val="Arial"/>
      <family val="2"/>
    </font>
    <font>
      <b/>
      <i/>
      <sz val="8"/>
      <color theme="1"/>
      <name val="Arial"/>
      <family val="2"/>
    </font>
    <font>
      <b/>
      <u/>
      <sz val="8"/>
      <color theme="1"/>
      <name val="Arial"/>
      <family val="2"/>
    </font>
    <font>
      <sz val="8"/>
      <color rgb="FF0000FF"/>
      <name val="Arial"/>
      <family val="2"/>
    </font>
    <font>
      <i/>
      <u val="singleAccounting"/>
      <sz val="8"/>
      <color theme="1"/>
      <name val="Arial"/>
      <family val="2"/>
    </font>
    <font>
      <i/>
      <u val="singleAccounting"/>
      <sz val="8"/>
      <color rgb="FFFF0000"/>
      <name val="Arial"/>
      <family val="2"/>
    </font>
    <font>
      <u val="singleAccounting"/>
      <sz val="8"/>
      <color rgb="FF0000FF"/>
      <name val="Arial"/>
      <family val="2"/>
    </font>
    <font>
      <i/>
      <sz val="8"/>
      <color rgb="FF0000FF"/>
      <name val="Arial"/>
      <family val="2"/>
    </font>
    <font>
      <b/>
      <sz val="9"/>
      <color indexed="81"/>
      <name val="Tahoma"/>
      <family val="2"/>
    </font>
    <font>
      <sz val="9"/>
      <color indexed="81"/>
      <name val="Tahoma"/>
      <family val="2"/>
    </font>
    <font>
      <i/>
      <u val="singleAccounting"/>
      <sz val="8"/>
      <name val="Arial"/>
      <family val="2"/>
    </font>
    <font>
      <b/>
      <sz val="8"/>
      <color rgb="FF0000FF"/>
      <name val="Arial"/>
      <family val="2"/>
    </font>
    <font>
      <b/>
      <sz val="8"/>
      <name val="Arial"/>
      <family val="2"/>
    </font>
    <font>
      <sz val="8"/>
      <color rgb="FF00B050"/>
      <name val="Arial"/>
      <family val="2"/>
    </font>
    <font>
      <b/>
      <sz val="8"/>
      <color rgb="FF00B050"/>
      <name val="Arial"/>
      <family val="2"/>
    </font>
    <font>
      <i/>
      <sz val="8"/>
      <color rgb="FF00B050"/>
      <name val="Arial"/>
      <family val="2"/>
    </font>
    <font>
      <u val="singleAccounting"/>
      <sz val="8"/>
      <color rgb="FF00B050"/>
      <name val="Arial"/>
      <family val="2"/>
    </font>
    <font>
      <i/>
      <u val="singleAccounting"/>
      <sz val="8"/>
      <color rgb="FF00B050"/>
      <name val="Arial"/>
      <family val="2"/>
    </font>
    <font>
      <i/>
      <u val="singleAccounting"/>
      <sz val="8"/>
      <color rgb="FF0000FF"/>
      <name val="Arial"/>
      <family val="2"/>
    </font>
    <font>
      <i/>
      <sz val="8"/>
      <color rgb="FF7030A0"/>
      <name val="Arial"/>
      <family val="2"/>
    </font>
    <font>
      <i/>
      <sz val="8"/>
      <color indexed="39"/>
      <name val="Arial"/>
      <family val="2"/>
    </font>
    <font>
      <b/>
      <sz val="8"/>
      <color rgb="FF7030A0"/>
      <name val="Arial"/>
      <family val="2"/>
    </font>
    <font>
      <u val="singleAccounting"/>
      <sz val="8"/>
      <color rgb="FF7030A0"/>
      <name val="Arial"/>
      <family val="2"/>
    </font>
    <font>
      <sz val="8"/>
      <color rgb="FF7030A0"/>
      <name val="Arial"/>
      <family val="2"/>
    </font>
    <font>
      <b/>
      <sz val="8"/>
      <color rgb="FFFF0000"/>
      <name val="Arial"/>
      <family val="2"/>
    </font>
    <font>
      <b/>
      <i/>
      <sz val="8"/>
      <name val="Arial"/>
      <family val="2"/>
    </font>
    <font>
      <b/>
      <sz val="12"/>
      <color theme="1"/>
      <name val="Arial"/>
      <family val="2"/>
    </font>
    <font>
      <u/>
      <sz val="8"/>
      <color theme="1"/>
      <name val="Arial"/>
      <family val="2"/>
    </font>
    <font>
      <i/>
      <u val="singleAccounting"/>
      <sz val="8"/>
      <color rgb="FF7030A0"/>
      <name val="Arial"/>
      <family val="2"/>
    </font>
  </fonts>
  <fills count="4">
    <fill>
      <patternFill patternType="none"/>
    </fill>
    <fill>
      <patternFill patternType="gray125"/>
    </fill>
    <fill>
      <patternFill patternType="solid">
        <fgColor rgb="FFFFFF00"/>
        <bgColor indexed="64"/>
      </patternFill>
    </fill>
    <fill>
      <patternFill patternType="solid">
        <fgColor rgb="FFFFFF99"/>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top/>
      <bottom style="hair">
        <color indexed="64"/>
      </bottom>
      <diagonal/>
    </border>
    <border>
      <left/>
      <right style="hair">
        <color indexed="64"/>
      </right>
      <top/>
      <bottom/>
      <diagonal/>
    </border>
  </borders>
  <cellStyleXfs count="4">
    <xf numFmtId="0" fontId="0" fillId="0" borderId="0"/>
    <xf numFmtId="9" fontId="1" fillId="0" borderId="0" applyFont="0" applyFill="0" applyBorder="0" applyAlignment="0" applyProtection="0"/>
    <xf numFmtId="0" fontId="5" fillId="0" borderId="0"/>
    <xf numFmtId="9" fontId="8" fillId="0" borderId="0" applyFont="0" applyFill="0" applyBorder="0" applyAlignment="0" applyProtection="0"/>
  </cellStyleXfs>
  <cellXfs count="292">
    <xf numFmtId="0" fontId="0" fillId="0" borderId="0" xfId="0"/>
    <xf numFmtId="0" fontId="3" fillId="0" borderId="0" xfId="2" applyFont="1"/>
    <xf numFmtId="0" fontId="1" fillId="0" borderId="0" xfId="2" applyFont="1"/>
    <xf numFmtId="14" fontId="6" fillId="0" borderId="0" xfId="2" applyNumberFormat="1" applyFont="1" applyAlignment="1">
      <alignment horizontal="right"/>
    </xf>
    <xf numFmtId="164" fontId="6" fillId="0" borderId="0" xfId="2" applyNumberFormat="1" applyFont="1" applyAlignment="1">
      <alignment horizontal="right"/>
    </xf>
    <xf numFmtId="0" fontId="3" fillId="0" borderId="1" xfId="2" applyFont="1" applyBorder="1"/>
    <xf numFmtId="0" fontId="1" fillId="0" borderId="1" xfId="2" applyFont="1" applyBorder="1"/>
    <xf numFmtId="0" fontId="6" fillId="0" borderId="0" xfId="2" applyFont="1"/>
    <xf numFmtId="0" fontId="3" fillId="0" borderId="2" xfId="2" applyFont="1" applyBorder="1" applyAlignment="1">
      <alignment horizontal="centerContinuous"/>
    </xf>
    <xf numFmtId="0" fontId="7" fillId="0" borderId="0" xfId="2" applyFont="1" applyAlignment="1">
      <alignment horizontal="center"/>
    </xf>
    <xf numFmtId="14" fontId="4" fillId="0" borderId="0" xfId="2" applyNumberFormat="1" applyFont="1" applyAlignment="1">
      <alignment horizontal="center"/>
    </xf>
    <xf numFmtId="14" fontId="4" fillId="0" borderId="0" xfId="3" applyNumberFormat="1" applyFont="1" applyAlignment="1">
      <alignment horizontal="center"/>
    </xf>
    <xf numFmtId="41" fontId="1" fillId="0" borderId="0" xfId="2" applyNumberFormat="1" applyFont="1"/>
    <xf numFmtId="0" fontId="6" fillId="0" borderId="0" xfId="2" applyFont="1" applyAlignment="1">
      <alignment horizontal="left" indent="1"/>
    </xf>
    <xf numFmtId="41" fontId="6" fillId="0" borderId="0" xfId="2" applyNumberFormat="1" applyFont="1"/>
    <xf numFmtId="165" fontId="9" fillId="0" borderId="0" xfId="2" applyNumberFormat="1" applyFont="1"/>
    <xf numFmtId="0" fontId="6" fillId="0" borderId="0" xfId="2" applyFont="1" applyAlignment="1">
      <alignment horizontal="left" indent="2"/>
    </xf>
    <xf numFmtId="165" fontId="10" fillId="0" borderId="0" xfId="2" applyNumberFormat="1" applyFont="1"/>
    <xf numFmtId="0" fontId="6" fillId="0" borderId="0" xfId="2" applyFont="1" applyAlignment="1">
      <alignment horizontal="left" indent="3"/>
    </xf>
    <xf numFmtId="165" fontId="6" fillId="0" borderId="0" xfId="2" applyNumberFormat="1" applyFont="1"/>
    <xf numFmtId="166" fontId="6" fillId="0" borderId="0" xfId="1" applyNumberFormat="1" applyFont="1"/>
    <xf numFmtId="0" fontId="11" fillId="0" borderId="0" xfId="2" applyFont="1" applyAlignment="1">
      <alignment horizontal="left" indent="1"/>
    </xf>
    <xf numFmtId="165" fontId="9" fillId="0" borderId="0" xfId="2" applyNumberFormat="1" applyFont="1" applyAlignment="1">
      <alignment horizontal="right"/>
    </xf>
    <xf numFmtId="0" fontId="0" fillId="0" borderId="0" xfId="2" applyFont="1"/>
    <xf numFmtId="0" fontId="1" fillId="0" borderId="0" xfId="2" applyFont="1" applyAlignment="1">
      <alignment horizontal="left" indent="1"/>
    </xf>
    <xf numFmtId="41" fontId="12" fillId="0" borderId="0" xfId="2" applyNumberFormat="1" applyFont="1"/>
    <xf numFmtId="41" fontId="13" fillId="0" borderId="0" xfId="2" applyNumberFormat="1" applyFont="1"/>
    <xf numFmtId="41" fontId="2" fillId="0" borderId="0" xfId="2" applyNumberFormat="1" applyFont="1"/>
    <xf numFmtId="41" fontId="15" fillId="0" borderId="0" xfId="2" applyNumberFormat="1" applyFont="1"/>
    <xf numFmtId="41" fontId="1" fillId="0" borderId="0" xfId="2" applyNumberFormat="1" applyFont="1" applyAlignment="1">
      <alignment horizontal="right"/>
    </xf>
    <xf numFmtId="41" fontId="4" fillId="0" borderId="0" xfId="2" applyNumberFormat="1" applyFont="1" applyAlignment="1">
      <alignment horizontal="right"/>
    </xf>
    <xf numFmtId="41" fontId="15" fillId="0" borderId="0" xfId="2" applyNumberFormat="1" applyFont="1" applyAlignment="1">
      <alignment horizontal="right"/>
    </xf>
    <xf numFmtId="167" fontId="6" fillId="0" borderId="0" xfId="2" applyNumberFormat="1" applyFont="1" applyAlignment="1">
      <alignment horizontal="right"/>
    </xf>
    <xf numFmtId="167" fontId="10" fillId="0" borderId="0" xfId="2" applyNumberFormat="1" applyFont="1"/>
    <xf numFmtId="167" fontId="6" fillId="0" borderId="0" xfId="2" applyNumberFormat="1" applyFont="1"/>
    <xf numFmtId="165" fontId="16" fillId="0" borderId="3" xfId="2" applyNumberFormat="1" applyFont="1" applyBorder="1"/>
    <xf numFmtId="0" fontId="17" fillId="0" borderId="0" xfId="2" applyFont="1"/>
    <xf numFmtId="167" fontId="1" fillId="0" borderId="0" xfId="2" applyNumberFormat="1" applyFont="1"/>
    <xf numFmtId="167" fontId="15" fillId="0" borderId="0" xfId="2" applyNumberFormat="1" applyFont="1"/>
    <xf numFmtId="41" fontId="7" fillId="0" borderId="0" xfId="2" applyNumberFormat="1" applyFont="1" applyAlignment="1">
      <alignment horizontal="center"/>
    </xf>
    <xf numFmtId="0" fontId="3" fillId="2" borderId="4" xfId="2" applyFont="1" applyFill="1" applyBorder="1"/>
    <xf numFmtId="41" fontId="3" fillId="2" borderId="2" xfId="2" applyNumberFormat="1" applyFont="1" applyFill="1" applyBorder="1"/>
    <xf numFmtId="168" fontId="3" fillId="2" borderId="5" xfId="2" applyNumberFormat="1" applyFont="1" applyFill="1" applyBorder="1"/>
    <xf numFmtId="43" fontId="12" fillId="0" borderId="0" xfId="2" applyNumberFormat="1" applyFont="1"/>
    <xf numFmtId="0" fontId="3" fillId="0" borderId="0" xfId="0" applyFont="1"/>
    <xf numFmtId="14" fontId="6" fillId="0" borderId="0" xfId="0" applyNumberFormat="1" applyFont="1" applyAlignment="1">
      <alignment horizontal="right"/>
    </xf>
    <xf numFmtId="0" fontId="3" fillId="0" borderId="1" xfId="0" applyFont="1" applyBorder="1"/>
    <xf numFmtId="0" fontId="6" fillId="0" borderId="0" xfId="0" applyFont="1" applyAlignment="1">
      <alignment horizontal="centerContinuous"/>
    </xf>
    <xf numFmtId="0" fontId="0" fillId="0" borderId="0" xfId="0" applyAlignment="1">
      <alignment horizontal="centerContinuous"/>
    </xf>
    <xf numFmtId="0" fontId="6" fillId="0" borderId="0" xfId="0" applyFont="1" applyAlignment="1">
      <alignment horizontal="center"/>
    </xf>
    <xf numFmtId="0" fontId="16" fillId="0" borderId="0" xfId="0" applyFont="1"/>
    <xf numFmtId="0" fontId="7" fillId="0" borderId="0" xfId="0" applyFont="1" applyAlignment="1">
      <alignment horizontal="center"/>
    </xf>
    <xf numFmtId="0" fontId="3" fillId="0" borderId="4" xfId="0" applyFont="1" applyBorder="1"/>
    <xf numFmtId="0" fontId="0" fillId="0" borderId="5" xfId="0" applyBorder="1"/>
    <xf numFmtId="0" fontId="17" fillId="0" borderId="0" xfId="0" applyFont="1"/>
    <xf numFmtId="166" fontId="0" fillId="0" borderId="0" xfId="1" applyNumberFormat="1" applyFont="1"/>
    <xf numFmtId="43" fontId="0" fillId="0" borderId="0" xfId="0" applyNumberFormat="1"/>
    <xf numFmtId="165" fontId="6" fillId="0" borderId="0" xfId="0" applyNumberFormat="1" applyFont="1"/>
    <xf numFmtId="0" fontId="3" fillId="0" borderId="2" xfId="0" applyFont="1" applyBorder="1"/>
    <xf numFmtId="41" fontId="3" fillId="0" borderId="2" xfId="0" applyNumberFormat="1" applyFont="1" applyBorder="1"/>
    <xf numFmtId="0" fontId="6" fillId="0" borderId="0" xfId="0" applyFont="1" applyAlignment="1">
      <alignment horizontal="left" indent="1"/>
    </xf>
    <xf numFmtId="165" fontId="10" fillId="0" borderId="0" xfId="0" applyNumberFormat="1" applyFont="1"/>
    <xf numFmtId="0" fontId="11" fillId="0" borderId="0" xfId="0" applyFont="1" applyAlignment="1">
      <alignment horizontal="left" indent="1"/>
    </xf>
    <xf numFmtId="0" fontId="0" fillId="0" borderId="0" xfId="0" applyAlignment="1">
      <alignment horizontal="left" indent="3"/>
    </xf>
    <xf numFmtId="41" fontId="0" fillId="0" borderId="0" xfId="0" applyNumberFormat="1"/>
    <xf numFmtId="41" fontId="12" fillId="0" borderId="0" xfId="0" applyNumberFormat="1" applyFont="1"/>
    <xf numFmtId="0" fontId="0" fillId="0" borderId="0" xfId="0" applyAlignment="1">
      <alignment horizontal="left" indent="2"/>
    </xf>
    <xf numFmtId="0" fontId="6" fillId="0" borderId="0" xfId="0" applyFont="1" applyAlignment="1">
      <alignment horizontal="left" indent="3"/>
    </xf>
    <xf numFmtId="165" fontId="0" fillId="0" borderId="0" xfId="0" applyNumberFormat="1"/>
    <xf numFmtId="43" fontId="12" fillId="0" borderId="0" xfId="0" applyNumberFormat="1" applyFont="1"/>
    <xf numFmtId="0" fontId="0" fillId="0" borderId="0" xfId="0" applyAlignment="1">
      <alignment horizontal="left" indent="1"/>
    </xf>
    <xf numFmtId="41" fontId="15" fillId="0" borderId="0" xfId="0" applyNumberFormat="1" applyFont="1"/>
    <xf numFmtId="41" fontId="14" fillId="0" borderId="0" xfId="0" applyNumberFormat="1" applyFont="1"/>
    <xf numFmtId="41" fontId="12" fillId="0" borderId="0" xfId="0" applyNumberFormat="1" applyFont="1" applyAlignment="1">
      <alignment horizontal="center"/>
    </xf>
    <xf numFmtId="41" fontId="0" fillId="0" borderId="0" xfId="0" applyNumberFormat="1" applyAlignment="1">
      <alignment horizontal="center"/>
    </xf>
    <xf numFmtId="0" fontId="6" fillId="0" borderId="0" xfId="0" quotePrefix="1" applyFont="1" applyAlignment="1">
      <alignment horizontal="left" indent="1"/>
    </xf>
    <xf numFmtId="0" fontId="6" fillId="0" borderId="0" xfId="0" applyFont="1"/>
    <xf numFmtId="41" fontId="19" fillId="0" borderId="0" xfId="0" applyNumberFormat="1" applyFont="1"/>
    <xf numFmtId="41" fontId="14" fillId="0" borderId="0" xfId="0" applyNumberFormat="1" applyFont="1" applyAlignment="1">
      <alignment horizontal="center"/>
    </xf>
    <xf numFmtId="41" fontId="2" fillId="0" borderId="0" xfId="0" applyNumberFormat="1" applyFont="1"/>
    <xf numFmtId="41" fontId="13" fillId="0" borderId="0" xfId="0" applyNumberFormat="1" applyFont="1"/>
    <xf numFmtId="41" fontId="18" fillId="0" borderId="0" xfId="0" applyNumberFormat="1" applyFont="1"/>
    <xf numFmtId="41" fontId="21" fillId="0" borderId="0" xfId="0" applyNumberFormat="1" applyFont="1"/>
    <xf numFmtId="41" fontId="18" fillId="0" borderId="0" xfId="0" applyNumberFormat="1" applyFont="1" applyAlignment="1">
      <alignment horizontal="right"/>
    </xf>
    <xf numFmtId="41" fontId="0" fillId="0" borderId="0" xfId="0" applyNumberFormat="1" applyAlignment="1">
      <alignment horizontal="right"/>
    </xf>
    <xf numFmtId="41" fontId="21" fillId="0" borderId="0" xfId="0" applyNumberFormat="1" applyFont="1" applyAlignment="1">
      <alignment horizontal="right"/>
    </xf>
    <xf numFmtId="41" fontId="12" fillId="0" borderId="0" xfId="0" applyNumberFormat="1" applyFont="1" applyAlignment="1">
      <alignment horizontal="right"/>
    </xf>
    <xf numFmtId="41" fontId="13" fillId="0" borderId="0" xfId="0" applyNumberFormat="1" applyFont="1" applyAlignment="1">
      <alignment horizontal="right"/>
    </xf>
    <xf numFmtId="7" fontId="0" fillId="0" borderId="0" xfId="0" applyNumberFormat="1"/>
    <xf numFmtId="0" fontId="11" fillId="0" borderId="0" xfId="0" applyFont="1" applyAlignment="1">
      <alignment horizontal="left" indent="2"/>
    </xf>
    <xf numFmtId="0" fontId="3" fillId="0" borderId="0" xfId="0" applyFont="1" applyAlignment="1">
      <alignment horizontal="center"/>
    </xf>
    <xf numFmtId="170" fontId="0" fillId="0" borderId="0" xfId="0" applyNumberFormat="1"/>
    <xf numFmtId="164" fontId="0" fillId="0" borderId="0" xfId="0" applyNumberFormat="1" applyAlignment="1">
      <alignment horizontal="center"/>
    </xf>
    <xf numFmtId="164" fontId="0" fillId="0" borderId="0" xfId="0" applyNumberFormat="1"/>
    <xf numFmtId="164" fontId="18" fillId="0" borderId="0" xfId="0" applyNumberFormat="1" applyFont="1" applyAlignment="1">
      <alignment horizontal="center"/>
    </xf>
    <xf numFmtId="41" fontId="6" fillId="0" borderId="0" xfId="0" applyNumberFormat="1" applyFont="1"/>
    <xf numFmtId="169" fontId="0" fillId="0" borderId="0" xfId="0" applyNumberFormat="1"/>
    <xf numFmtId="0" fontId="0" fillId="0" borderId="1" xfId="0" applyBorder="1"/>
    <xf numFmtId="0" fontId="6" fillId="0" borderId="0" xfId="2" quotePrefix="1" applyFont="1" applyAlignment="1">
      <alignment horizontal="left" indent="2"/>
    </xf>
    <xf numFmtId="171" fontId="0" fillId="0" borderId="0" xfId="0" applyNumberFormat="1"/>
    <xf numFmtId="41" fontId="9" fillId="0" borderId="0" xfId="0" applyNumberFormat="1" applyFont="1"/>
    <xf numFmtId="0" fontId="6" fillId="0" borderId="0" xfId="0" applyFont="1" applyAlignment="1">
      <alignment horizontal="left" indent="2"/>
    </xf>
    <xf numFmtId="41" fontId="25" fillId="0" borderId="0" xfId="0" applyNumberFormat="1" applyFont="1"/>
    <xf numFmtId="41" fontId="20" fillId="0" borderId="0" xfId="0" applyNumberFormat="1" applyFont="1"/>
    <xf numFmtId="0" fontId="0" fillId="0" borderId="0" xfId="0" quotePrefix="1"/>
    <xf numFmtId="41" fontId="0" fillId="0" borderId="0" xfId="1" applyNumberFormat="1" applyFont="1"/>
    <xf numFmtId="171" fontId="6" fillId="0" borderId="0" xfId="0" applyNumberFormat="1" applyFont="1"/>
    <xf numFmtId="172" fontId="6" fillId="0" borderId="0" xfId="0" applyNumberFormat="1" applyFont="1"/>
    <xf numFmtId="171" fontId="19" fillId="0" borderId="0" xfId="0" applyNumberFormat="1" applyFont="1"/>
    <xf numFmtId="172" fontId="19" fillId="0" borderId="0" xfId="0" applyNumberFormat="1" applyFont="1"/>
    <xf numFmtId="0" fontId="3" fillId="0" borderId="0" xfId="0" applyFont="1" applyAlignment="1">
      <alignment horizontal="left" indent="1"/>
    </xf>
    <xf numFmtId="41" fontId="3" fillId="0" borderId="0" xfId="0" applyNumberFormat="1" applyFont="1"/>
    <xf numFmtId="0" fontId="12" fillId="0" borderId="0" xfId="0" applyFont="1"/>
    <xf numFmtId="41" fontId="26" fillId="0" borderId="0" xfId="0" applyNumberFormat="1" applyFont="1"/>
    <xf numFmtId="7" fontId="3" fillId="0" borderId="0" xfId="0" applyNumberFormat="1" applyFont="1"/>
    <xf numFmtId="41" fontId="22" fillId="0" borderId="0" xfId="0" applyNumberFormat="1" applyFont="1"/>
    <xf numFmtId="0" fontId="18" fillId="0" borderId="0" xfId="0" applyFont="1"/>
    <xf numFmtId="170" fontId="3" fillId="0" borderId="0" xfId="0" applyNumberFormat="1" applyFont="1"/>
    <xf numFmtId="41" fontId="27" fillId="0" borderId="0" xfId="0" applyNumberFormat="1" applyFont="1"/>
    <xf numFmtId="171" fontId="22" fillId="0" borderId="0" xfId="0" applyNumberFormat="1" applyFont="1"/>
    <xf numFmtId="171" fontId="9" fillId="0" borderId="0" xfId="0" applyNumberFormat="1" applyFont="1"/>
    <xf numFmtId="171" fontId="25" fillId="0" borderId="0" xfId="0" applyNumberFormat="1" applyFont="1"/>
    <xf numFmtId="171" fontId="12" fillId="0" borderId="0" xfId="0" applyNumberFormat="1" applyFont="1"/>
    <xf numFmtId="166" fontId="6" fillId="0" borderId="0" xfId="1" applyNumberFormat="1" applyFont="1" applyAlignment="1">
      <alignment horizontal="right"/>
    </xf>
    <xf numFmtId="172" fontId="0" fillId="0" borderId="0" xfId="0" applyNumberFormat="1"/>
    <xf numFmtId="172" fontId="12" fillId="0" borderId="0" xfId="0" applyNumberFormat="1" applyFont="1"/>
    <xf numFmtId="43" fontId="3" fillId="0" borderId="0" xfId="0" applyNumberFormat="1" applyFont="1"/>
    <xf numFmtId="172" fontId="3" fillId="0" borderId="0" xfId="0" applyNumberFormat="1" applyFont="1"/>
    <xf numFmtId="169" fontId="18" fillId="0" borderId="0" xfId="0" applyNumberFormat="1" applyFont="1"/>
    <xf numFmtId="0" fontId="3" fillId="0" borderId="4" xfId="2" applyFont="1" applyBorder="1" applyAlignment="1">
      <alignment horizontal="center"/>
    </xf>
    <xf numFmtId="0" fontId="3" fillId="0" borderId="2" xfId="2" applyFont="1" applyBorder="1" applyAlignment="1">
      <alignment horizontal="center"/>
    </xf>
    <xf numFmtId="0" fontId="3" fillId="0" borderId="5" xfId="2" applyFont="1" applyBorder="1" applyAlignment="1">
      <alignment horizontal="center"/>
    </xf>
    <xf numFmtId="41" fontId="16" fillId="0" borderId="0" xfId="0" applyNumberFormat="1" applyFont="1"/>
    <xf numFmtId="165" fontId="16" fillId="0" borderId="0" xfId="0" applyNumberFormat="1" applyFont="1"/>
    <xf numFmtId="171" fontId="19" fillId="0" borderId="0" xfId="0" applyNumberFormat="1" applyFont="1" applyAlignment="1">
      <alignment horizontal="right"/>
    </xf>
    <xf numFmtId="0" fontId="3" fillId="0" borderId="2" xfId="0" applyFont="1" applyBorder="1" applyAlignment="1">
      <alignment horizontal="centerContinuous"/>
    </xf>
    <xf numFmtId="0" fontId="0" fillId="0" borderId="2" xfId="0" applyBorder="1" applyAlignment="1">
      <alignment horizontal="centerContinuous"/>
    </xf>
    <xf numFmtId="0" fontId="6" fillId="0" borderId="2" xfId="0" applyFont="1" applyBorder="1" applyAlignment="1">
      <alignment horizontal="centerContinuous"/>
    </xf>
    <xf numFmtId="171" fontId="10" fillId="0" borderId="0" xfId="0" applyNumberFormat="1" applyFont="1"/>
    <xf numFmtId="41" fontId="3" fillId="0" borderId="0" xfId="0" applyNumberFormat="1" applyFont="1" applyAlignment="1">
      <alignment horizontal="center"/>
    </xf>
    <xf numFmtId="0" fontId="3" fillId="0" borderId="0" xfId="0" quotePrefix="1" applyFont="1" applyAlignment="1">
      <alignment horizontal="left" indent="1"/>
    </xf>
    <xf numFmtId="0" fontId="16" fillId="0" borderId="0" xfId="0" applyFont="1" applyAlignment="1">
      <alignment horizontal="left" indent="2"/>
    </xf>
    <xf numFmtId="41" fontId="16" fillId="0" borderId="0" xfId="0" applyNumberFormat="1" applyFont="1" applyAlignment="1">
      <alignment horizontal="center"/>
    </xf>
    <xf numFmtId="41" fontId="27" fillId="0" borderId="0" xfId="0" applyNumberFormat="1" applyFont="1" applyAlignment="1">
      <alignment horizontal="center"/>
    </xf>
    <xf numFmtId="41" fontId="10" fillId="0" borderId="0" xfId="0" applyNumberFormat="1" applyFont="1"/>
    <xf numFmtId="171" fontId="9" fillId="0" borderId="0" xfId="2" applyNumberFormat="1" applyFont="1"/>
    <xf numFmtId="171" fontId="6" fillId="0" borderId="0" xfId="2" applyNumberFormat="1" applyFont="1"/>
    <xf numFmtId="172" fontId="9" fillId="0" borderId="0" xfId="2" applyNumberFormat="1" applyFont="1"/>
    <xf numFmtId="172" fontId="10" fillId="0" borderId="0" xfId="2" applyNumberFormat="1" applyFont="1"/>
    <xf numFmtId="0" fontId="3" fillId="0" borderId="0" xfId="2" applyFont="1" applyAlignment="1">
      <alignment horizontal="left" indent="1"/>
    </xf>
    <xf numFmtId="41" fontId="16" fillId="0" borderId="0" xfId="2" applyNumberFormat="1" applyFont="1"/>
    <xf numFmtId="41" fontId="3" fillId="0" borderId="0" xfId="2" applyNumberFormat="1" applyFont="1"/>
    <xf numFmtId="0" fontId="16" fillId="0" borderId="0" xfId="2" applyFont="1"/>
    <xf numFmtId="41" fontId="29" fillId="0" borderId="0" xfId="2" applyNumberFormat="1" applyFont="1"/>
    <xf numFmtId="43" fontId="18" fillId="0" borderId="0" xfId="2" applyNumberFormat="1" applyFont="1"/>
    <xf numFmtId="43" fontId="1" fillId="0" borderId="0" xfId="2" applyNumberFormat="1" applyFont="1"/>
    <xf numFmtId="41" fontId="30" fillId="0" borderId="0" xfId="2" applyNumberFormat="1" applyFont="1"/>
    <xf numFmtId="41" fontId="31" fillId="0" borderId="0" xfId="2" applyNumberFormat="1" applyFont="1"/>
    <xf numFmtId="171" fontId="16" fillId="0" borderId="0" xfId="0" applyNumberFormat="1" applyFont="1"/>
    <xf numFmtId="41" fontId="28" fillId="0" borderId="0" xfId="2" applyNumberFormat="1" applyFont="1"/>
    <xf numFmtId="43" fontId="6" fillId="0" borderId="0" xfId="0" applyNumberFormat="1" applyFont="1"/>
    <xf numFmtId="168" fontId="6" fillId="0" borderId="0" xfId="0" applyNumberFormat="1" applyFont="1"/>
    <xf numFmtId="0" fontId="3" fillId="0" borderId="1" xfId="0" applyFont="1" applyBorder="1" applyAlignment="1">
      <alignment horizontal="centerContinuous"/>
    </xf>
    <xf numFmtId="0" fontId="0" fillId="0" borderId="1" xfId="0" applyBorder="1" applyAlignment="1">
      <alignment horizontal="centerContinuous"/>
    </xf>
    <xf numFmtId="171" fontId="6" fillId="0" borderId="0" xfId="0" applyNumberFormat="1" applyFont="1" applyAlignment="1">
      <alignment horizontal="right"/>
    </xf>
    <xf numFmtId="41" fontId="28" fillId="0" borderId="0" xfId="2" applyNumberFormat="1" applyFont="1" applyAlignment="1">
      <alignment horizontal="right"/>
    </xf>
    <xf numFmtId="41" fontId="31" fillId="0" borderId="0" xfId="2" applyNumberFormat="1" applyFont="1" applyAlignment="1">
      <alignment horizontal="right"/>
    </xf>
    <xf numFmtId="41" fontId="20" fillId="0" borderId="0" xfId="2" applyNumberFormat="1" applyFont="1"/>
    <xf numFmtId="0" fontId="0" fillId="0" borderId="0" xfId="2" applyFont="1" applyAlignment="1">
      <alignment horizontal="left" indent="1"/>
    </xf>
    <xf numFmtId="0" fontId="12" fillId="0" borderId="0" xfId="2" applyFont="1"/>
    <xf numFmtId="0" fontId="3" fillId="0" borderId="0" xfId="2" applyFont="1" applyAlignment="1">
      <alignment horizontal="left"/>
    </xf>
    <xf numFmtId="172" fontId="6" fillId="0" borderId="0" xfId="0" applyNumberFormat="1" applyFont="1" applyAlignment="1">
      <alignment horizontal="right"/>
    </xf>
    <xf numFmtId="172" fontId="19" fillId="0" borderId="0" xfId="0" applyNumberFormat="1" applyFont="1" applyAlignment="1">
      <alignment horizontal="right"/>
    </xf>
    <xf numFmtId="41" fontId="32" fillId="0" borderId="0" xfId="2" applyNumberFormat="1" applyFont="1"/>
    <xf numFmtId="164" fontId="6" fillId="0" borderId="0" xfId="0" applyNumberFormat="1" applyFont="1"/>
    <xf numFmtId="9" fontId="6" fillId="0" borderId="0" xfId="1" applyFont="1" applyBorder="1"/>
    <xf numFmtId="167" fontId="0" fillId="0" borderId="0" xfId="2" applyNumberFormat="1" applyFont="1" applyAlignment="1">
      <alignment horizontal="right"/>
    </xf>
    <xf numFmtId="9" fontId="0" fillId="0" borderId="0" xfId="1" applyFont="1"/>
    <xf numFmtId="41" fontId="10" fillId="0" borderId="0" xfId="2" applyNumberFormat="1" applyFont="1"/>
    <xf numFmtId="13" fontId="1" fillId="0" borderId="0" xfId="2" applyNumberFormat="1" applyFont="1"/>
    <xf numFmtId="0" fontId="13" fillId="0" borderId="0" xfId="0" applyFont="1"/>
    <xf numFmtId="168" fontId="22" fillId="0" borderId="0" xfId="0" applyNumberFormat="1" applyFont="1"/>
    <xf numFmtId="0" fontId="30" fillId="0" borderId="0" xfId="0" applyFont="1"/>
    <xf numFmtId="172" fontId="10" fillId="0" borderId="0" xfId="0" applyNumberFormat="1" applyFont="1"/>
    <xf numFmtId="169" fontId="13" fillId="0" borderId="0" xfId="0" applyNumberFormat="1" applyFont="1"/>
    <xf numFmtId="43" fontId="6" fillId="0" borderId="0" xfId="2" applyNumberFormat="1" applyFont="1"/>
    <xf numFmtId="171" fontId="2" fillId="0" borderId="0" xfId="0" applyNumberFormat="1" applyFont="1"/>
    <xf numFmtId="171" fontId="13" fillId="0" borderId="0" xfId="0" applyNumberFormat="1" applyFont="1"/>
    <xf numFmtId="171" fontId="14" fillId="0" borderId="0" xfId="0" applyNumberFormat="1" applyFont="1"/>
    <xf numFmtId="171" fontId="15" fillId="0" borderId="0" xfId="0" applyNumberFormat="1" applyFont="1"/>
    <xf numFmtId="171" fontId="27" fillId="0" borderId="0" xfId="0" applyNumberFormat="1" applyFont="1"/>
    <xf numFmtId="41" fontId="6" fillId="0" borderId="0" xfId="0" applyNumberFormat="1" applyFont="1" applyAlignment="1">
      <alignment horizontal="center"/>
    </xf>
    <xf numFmtId="41" fontId="33" fillId="0" borderId="0" xfId="0" applyNumberFormat="1" applyFont="1"/>
    <xf numFmtId="41" fontId="9" fillId="0" borderId="0" xfId="0" applyNumberFormat="1" applyFont="1" applyAlignment="1">
      <alignment horizontal="center"/>
    </xf>
    <xf numFmtId="43" fontId="28" fillId="0" borderId="0" xfId="2" applyNumberFormat="1" applyFont="1"/>
    <xf numFmtId="166" fontId="16" fillId="0" borderId="0" xfId="1" applyNumberFormat="1" applyFont="1"/>
    <xf numFmtId="41" fontId="28" fillId="0" borderId="0" xfId="0" applyNumberFormat="1" applyFont="1"/>
    <xf numFmtId="171" fontId="30" fillId="0" borderId="0" xfId="0" applyNumberFormat="1" applyFont="1"/>
    <xf numFmtId="41" fontId="31" fillId="0" borderId="0" xfId="0" applyNumberFormat="1" applyFont="1"/>
    <xf numFmtId="0" fontId="3" fillId="0" borderId="4" xfId="2" applyFont="1" applyBorder="1" applyAlignment="1">
      <alignment horizontal="centerContinuous"/>
    </xf>
    <xf numFmtId="0" fontId="3" fillId="0" borderId="5" xfId="2" applyFont="1" applyBorder="1" applyAlignment="1">
      <alignment horizontal="centerContinuous"/>
    </xf>
    <xf numFmtId="173" fontId="1" fillId="0" borderId="0" xfId="2" applyNumberFormat="1" applyFont="1"/>
    <xf numFmtId="41" fontId="34" fillId="0" borderId="0" xfId="0" applyNumberFormat="1" applyFont="1"/>
    <xf numFmtId="41" fontId="6" fillId="0" borderId="0" xfId="0" applyNumberFormat="1" applyFont="1" applyAlignment="1">
      <alignment horizontal="right"/>
    </xf>
    <xf numFmtId="9" fontId="3" fillId="0" borderId="2" xfId="1" applyFont="1" applyBorder="1"/>
    <xf numFmtId="173" fontId="18" fillId="3" borderId="0" xfId="0" applyNumberFormat="1" applyFont="1" applyFill="1"/>
    <xf numFmtId="173" fontId="6" fillId="0" borderId="0" xfId="0" applyNumberFormat="1" applyFont="1"/>
    <xf numFmtId="41" fontId="18" fillId="0" borderId="0" xfId="0" quotePrefix="1" applyNumberFormat="1" applyFont="1" applyAlignment="1">
      <alignment horizontal="right"/>
    </xf>
    <xf numFmtId="41" fontId="22" fillId="0" borderId="0" xfId="0" applyNumberFormat="1" applyFont="1" applyAlignment="1">
      <alignment horizontal="left"/>
    </xf>
    <xf numFmtId="41" fontId="22" fillId="0" borderId="0" xfId="0" quotePrefix="1" applyNumberFormat="1" applyFont="1" applyAlignment="1">
      <alignment horizontal="right"/>
    </xf>
    <xf numFmtId="174" fontId="0" fillId="0" borderId="0" xfId="0" applyNumberFormat="1"/>
    <xf numFmtId="9" fontId="1" fillId="0" borderId="0" xfId="1" applyFont="1"/>
    <xf numFmtId="41" fontId="3" fillId="0" borderId="0" xfId="0" applyNumberFormat="1" applyFont="1" applyAlignment="1">
      <alignment horizontal="right"/>
    </xf>
    <xf numFmtId="172" fontId="0" fillId="0" borderId="0" xfId="0" applyNumberFormat="1" applyAlignment="1">
      <alignment horizontal="right"/>
    </xf>
    <xf numFmtId="172" fontId="12" fillId="0" borderId="0" xfId="0" applyNumberFormat="1" applyFont="1" applyAlignment="1">
      <alignment horizontal="right"/>
    </xf>
    <xf numFmtId="172" fontId="3" fillId="0" borderId="0" xfId="0" applyNumberFormat="1" applyFont="1" applyAlignment="1">
      <alignment horizontal="right"/>
    </xf>
    <xf numFmtId="169" fontId="18" fillId="0" borderId="0" xfId="0" applyNumberFormat="1" applyFont="1" applyAlignment="1">
      <alignment horizontal="right"/>
    </xf>
    <xf numFmtId="43" fontId="0" fillId="0" borderId="0" xfId="0" applyNumberFormat="1" applyAlignment="1">
      <alignment horizontal="right"/>
    </xf>
    <xf numFmtId="43" fontId="12" fillId="0" borderId="0" xfId="0" applyNumberFormat="1" applyFont="1" applyAlignment="1">
      <alignment horizontal="right"/>
    </xf>
    <xf numFmtId="43" fontId="3" fillId="0" borderId="0" xfId="0" applyNumberFormat="1" applyFont="1" applyAlignment="1">
      <alignment horizontal="right"/>
    </xf>
    <xf numFmtId="41" fontId="3" fillId="0" borderId="1" xfId="0" applyNumberFormat="1" applyFont="1" applyBorder="1"/>
    <xf numFmtId="41" fontId="14" fillId="0" borderId="0" xfId="0" applyNumberFormat="1" applyFont="1" applyAlignment="1">
      <alignment horizontal="right"/>
    </xf>
    <xf numFmtId="170" fontId="3" fillId="0" borderId="0" xfId="0" applyNumberFormat="1" applyFont="1" applyAlignment="1">
      <alignment horizontal="right"/>
    </xf>
    <xf numFmtId="171" fontId="9" fillId="0" borderId="0" xfId="0" applyNumberFormat="1" applyFont="1" applyAlignment="1">
      <alignment horizontal="right"/>
    </xf>
    <xf numFmtId="171" fontId="25" fillId="0" borderId="0" xfId="0" applyNumberFormat="1" applyFont="1" applyAlignment="1">
      <alignment horizontal="right"/>
    </xf>
    <xf numFmtId="168" fontId="22" fillId="0" borderId="0" xfId="0" applyNumberFormat="1" applyFont="1" applyAlignment="1">
      <alignment horizontal="right"/>
    </xf>
    <xf numFmtId="0" fontId="0" fillId="0" borderId="0" xfId="0" applyAlignment="1">
      <alignment horizontal="left"/>
    </xf>
    <xf numFmtId="0" fontId="11" fillId="0" borderId="0" xfId="0" applyFont="1"/>
    <xf numFmtId="175" fontId="13" fillId="0" borderId="0" xfId="0" applyNumberFormat="1" applyFont="1"/>
    <xf numFmtId="171" fontId="0" fillId="0" borderId="0" xfId="0" applyNumberFormat="1" applyAlignment="1">
      <alignment horizontal="right"/>
    </xf>
    <xf numFmtId="171" fontId="12" fillId="0" borderId="0" xfId="0" applyNumberFormat="1" applyFont="1" applyAlignment="1">
      <alignment horizontal="right"/>
    </xf>
    <xf numFmtId="168" fontId="0" fillId="0" borderId="0" xfId="0" applyNumberFormat="1"/>
    <xf numFmtId="0" fontId="3" fillId="0" borderId="1" xfId="2" applyFont="1" applyBorder="1" applyAlignment="1">
      <alignment horizontal="centerContinuous"/>
    </xf>
    <xf numFmtId="0" fontId="1" fillId="0" borderId="1" xfId="2" applyFont="1" applyBorder="1" applyAlignment="1">
      <alignment horizontal="centerContinuous"/>
    </xf>
    <xf numFmtId="0" fontId="1" fillId="0" borderId="6" xfId="2" applyFont="1" applyBorder="1"/>
    <xf numFmtId="0" fontId="7" fillId="0" borderId="0" xfId="2" quotePrefix="1" applyFont="1" applyAlignment="1">
      <alignment horizontal="center"/>
    </xf>
    <xf numFmtId="171" fontId="20" fillId="0" borderId="0" xfId="0" applyNumberFormat="1" applyFont="1"/>
    <xf numFmtId="171" fontId="3" fillId="0" borderId="0" xfId="0" applyNumberFormat="1" applyFont="1"/>
    <xf numFmtId="171" fontId="30" fillId="0" borderId="0" xfId="2" applyNumberFormat="1" applyFont="1"/>
    <xf numFmtId="176" fontId="1" fillId="0" borderId="0" xfId="2" applyNumberFormat="1" applyFont="1"/>
    <xf numFmtId="176" fontId="1" fillId="0" borderId="0" xfId="2" applyNumberFormat="1" applyFont="1" applyAlignment="1">
      <alignment horizontal="right"/>
    </xf>
    <xf numFmtId="176" fontId="0" fillId="0" borderId="0" xfId="2" applyNumberFormat="1" applyFont="1" applyAlignment="1">
      <alignment horizontal="right"/>
    </xf>
    <xf numFmtId="9" fontId="13" fillId="0" borderId="0" xfId="1" applyFont="1"/>
    <xf numFmtId="0" fontId="7" fillId="0" borderId="0" xfId="0" applyFont="1"/>
    <xf numFmtId="177" fontId="0" fillId="0" borderId="3" xfId="0" applyNumberFormat="1" applyBorder="1" applyAlignment="1">
      <alignment horizontal="left" vertical="center"/>
    </xf>
    <xf numFmtId="0" fontId="0" fillId="0" borderId="3" xfId="0" applyBorder="1" applyAlignment="1">
      <alignment horizontal="center" vertical="center"/>
    </xf>
    <xf numFmtId="0" fontId="0" fillId="0" borderId="3" xfId="0" applyBorder="1" applyAlignment="1">
      <alignment vertical="center" wrapText="1"/>
    </xf>
    <xf numFmtId="0" fontId="35" fillId="0" borderId="0" xfId="0" applyFont="1"/>
    <xf numFmtId="41" fontId="36" fillId="0" borderId="0" xfId="2" applyNumberFormat="1" applyFont="1"/>
    <xf numFmtId="41" fontId="37" fillId="0" borderId="0" xfId="2" applyNumberFormat="1" applyFont="1"/>
    <xf numFmtId="41" fontId="38" fillId="0" borderId="0" xfId="2" applyNumberFormat="1" applyFont="1"/>
    <xf numFmtId="172" fontId="34" fillId="0" borderId="0" xfId="2" applyNumberFormat="1" applyFont="1"/>
    <xf numFmtId="169" fontId="28" fillId="0" borderId="0" xfId="0" applyNumberFormat="1" applyFont="1"/>
    <xf numFmtId="0" fontId="0" fillId="0" borderId="0" xfId="0" applyAlignment="1">
      <alignment wrapText="1"/>
    </xf>
    <xf numFmtId="0" fontId="3" fillId="0" borderId="0" xfId="0" applyFont="1" applyAlignment="1">
      <alignment wrapText="1"/>
    </xf>
    <xf numFmtId="0" fontId="3" fillId="0" borderId="1" xfId="0" applyFont="1" applyBorder="1" applyAlignment="1">
      <alignment wrapText="1"/>
    </xf>
    <xf numFmtId="173" fontId="9" fillId="0" borderId="0" xfId="0" applyNumberFormat="1" applyFont="1" applyAlignment="1">
      <alignment horizontal="right"/>
    </xf>
    <xf numFmtId="173" fontId="25" fillId="0" borderId="0" xfId="0" applyNumberFormat="1" applyFont="1" applyAlignment="1">
      <alignment horizontal="right"/>
    </xf>
    <xf numFmtId="41" fontId="30" fillId="0" borderId="0" xfId="0" applyNumberFormat="1" applyFont="1"/>
    <xf numFmtId="41" fontId="39" fillId="0" borderId="0" xfId="0" applyNumberFormat="1" applyFont="1"/>
    <xf numFmtId="0" fontId="0" fillId="0" borderId="0" xfId="0" applyAlignment="1">
      <alignment horizontal="right"/>
    </xf>
    <xf numFmtId="0" fontId="6" fillId="0" borderId="0" xfId="0" applyFont="1" applyAlignment="1">
      <alignment horizontal="right"/>
    </xf>
    <xf numFmtId="41" fontId="36" fillId="0" borderId="0" xfId="0" applyNumberFormat="1" applyFont="1" applyAlignment="1">
      <alignment horizontal="right"/>
    </xf>
    <xf numFmtId="41" fontId="34" fillId="0" borderId="0" xfId="0" applyNumberFormat="1" applyFont="1" applyAlignment="1">
      <alignment horizontal="right"/>
    </xf>
    <xf numFmtId="41" fontId="26" fillId="0" borderId="0" xfId="0" applyNumberFormat="1" applyFont="1" applyAlignment="1">
      <alignment horizontal="right"/>
    </xf>
    <xf numFmtId="41" fontId="39" fillId="0" borderId="0" xfId="0" applyNumberFormat="1" applyFont="1" applyAlignment="1">
      <alignment horizontal="right"/>
    </xf>
    <xf numFmtId="41" fontId="10" fillId="0" borderId="0" xfId="0" applyNumberFormat="1" applyFont="1" applyAlignment="1">
      <alignment horizontal="right"/>
    </xf>
    <xf numFmtId="41" fontId="22" fillId="0" borderId="0" xfId="0" applyNumberFormat="1" applyFont="1" applyAlignment="1">
      <alignment horizontal="right"/>
    </xf>
    <xf numFmtId="41" fontId="2" fillId="0" borderId="0" xfId="0" applyNumberFormat="1" applyFont="1" applyAlignment="1">
      <alignment horizontal="right"/>
    </xf>
    <xf numFmtId="0" fontId="11" fillId="0" borderId="0" xfId="2" applyFont="1" applyAlignment="1">
      <alignment horizontal="left" indent="2"/>
    </xf>
    <xf numFmtId="173" fontId="0" fillId="0" borderId="0" xfId="0" applyNumberFormat="1"/>
    <xf numFmtId="41" fontId="40" fillId="0" borderId="0" xfId="0" applyNumberFormat="1" applyFont="1"/>
    <xf numFmtId="173" fontId="13" fillId="0" borderId="0" xfId="0" applyNumberFormat="1" applyFont="1"/>
    <xf numFmtId="171" fontId="18" fillId="0" borderId="1" xfId="0" applyNumberFormat="1" applyFont="1" applyBorder="1"/>
    <xf numFmtId="173" fontId="18" fillId="0" borderId="7" xfId="0" applyNumberFormat="1" applyFont="1" applyBorder="1"/>
    <xf numFmtId="0" fontId="3" fillId="0" borderId="8" xfId="0" applyFont="1" applyBorder="1" applyAlignment="1">
      <alignment horizontal="centerContinuous"/>
    </xf>
    <xf numFmtId="0" fontId="3" fillId="0" borderId="9" xfId="0" applyFont="1" applyBorder="1"/>
    <xf numFmtId="0" fontId="0" fillId="0" borderId="9" xfId="0" applyBorder="1"/>
    <xf numFmtId="0" fontId="41" fillId="0" borderId="0" xfId="0" applyFont="1"/>
    <xf numFmtId="0" fontId="3" fillId="0" borderId="9" xfId="0" applyFont="1" applyBorder="1" applyAlignment="1">
      <alignment horizontal="right"/>
    </xf>
    <xf numFmtId="0" fontId="42" fillId="0" borderId="0" xfId="0" applyFont="1"/>
    <xf numFmtId="164" fontId="22" fillId="0" borderId="0" xfId="0" applyNumberFormat="1" applyFont="1" applyAlignment="1">
      <alignment horizontal="center"/>
    </xf>
    <xf numFmtId="164" fontId="9" fillId="0" borderId="0" xfId="0" applyNumberFormat="1" applyFont="1" applyAlignment="1">
      <alignment horizontal="center"/>
    </xf>
    <xf numFmtId="0" fontId="3" fillId="0" borderId="0" xfId="0" applyFont="1" applyAlignment="1">
      <alignment horizontal="left"/>
    </xf>
    <xf numFmtId="169" fontId="43" fillId="0" borderId="0" xfId="0" applyNumberFormat="1" applyFont="1"/>
    <xf numFmtId="169" fontId="25" fillId="0" borderId="0" xfId="0" applyNumberFormat="1" applyFont="1"/>
    <xf numFmtId="171" fontId="10" fillId="3" borderId="0" xfId="0" applyNumberFormat="1" applyFont="1" applyFill="1" applyAlignment="1">
      <alignment horizontal="right"/>
    </xf>
    <xf numFmtId="171" fontId="34" fillId="0" borderId="0" xfId="0" applyNumberFormat="1" applyFont="1"/>
    <xf numFmtId="9" fontId="6" fillId="0" borderId="0" xfId="1" applyFont="1"/>
    <xf numFmtId="0" fontId="3" fillId="0" borderId="1" xfId="0" applyFont="1" applyBorder="1" applyAlignment="1">
      <alignment horizontal="center"/>
    </xf>
    <xf numFmtId="43" fontId="16" fillId="0" borderId="0" xfId="2" applyNumberFormat="1" applyFont="1"/>
    <xf numFmtId="171" fontId="10" fillId="0" borderId="0" xfId="2" applyNumberFormat="1" applyFont="1"/>
  </cellXfs>
  <cellStyles count="4">
    <cellStyle name="Normal" xfId="0" builtinId="0"/>
    <cellStyle name="Normal 2 2" xfId="2" xr:uid="{364617E6-2A3D-4531-B2C9-764154C17A3F}"/>
    <cellStyle name="Percent" xfId="1" builtinId="5"/>
    <cellStyle name="Percent 2" xfId="3" xr:uid="{B77C6C92-C130-47CF-9EC9-82603321973D}"/>
  </cellStyles>
  <dxfs count="0"/>
  <tableStyles count="1" defaultTableStyle="TableStyleMedium2" defaultPivotStyle="PivotStyleLight16">
    <tableStyle name="Invisible" pivot="0" table="0" count="0" xr9:uid="{0475262E-4958-4E72-95C5-C2814F5D19B9}"/>
  </tableStyles>
  <colors>
    <mruColors>
      <color rgb="FF0000FF"/>
      <color rgb="FFFF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Hedgeye META</a:t>
            </a:r>
            <a:r>
              <a:rPr lang="en-US" b="1" baseline="0"/>
              <a:t> Backtest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'Historical Financials'!$CQ$258</c:f>
              <c:strCache>
                <c:ptCount val="1"/>
                <c:pt idx="0">
                  <c:v>Hedgeye Ad Agency META Ad Spend</c:v>
                </c:pt>
              </c:strCache>
            </c:strRef>
          </c:tx>
          <c:spPr>
            <a:ln w="28575" cap="rnd">
              <a:solidFill>
                <a:schemeClr val="accent1"/>
              </a:solidFill>
              <a:round/>
            </a:ln>
            <a:effectLst/>
          </c:spPr>
          <c:marker>
            <c:symbol val="none"/>
          </c:marker>
          <c:cat>
            <c:strRef>
              <c:f>'Historical Financials'!$CR$257:$DI$257</c:f>
              <c:strCache>
                <c:ptCount val="18"/>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pt idx="16">
                  <c:v>1Q24e</c:v>
                </c:pt>
                <c:pt idx="17">
                  <c:v>2Q24e</c:v>
                </c:pt>
              </c:strCache>
            </c:strRef>
          </c:cat>
          <c:val>
            <c:numRef>
              <c:f>'Historical Financials'!$CR$258:$DI$258</c:f>
              <c:numCache>
                <c:formatCode>_(* #,##0%_);_(* \(#,##0%\);_(* "-"??_);_(@_)</c:formatCode>
                <c:ptCount val="18"/>
                <c:pt idx="0">
                  <c:v>0.127</c:v>
                </c:pt>
                <c:pt idx="1">
                  <c:v>0.128</c:v>
                </c:pt>
                <c:pt idx="2">
                  <c:v>0.36799999999999999</c:v>
                </c:pt>
                <c:pt idx="3">
                  <c:v>0.47399999999999998</c:v>
                </c:pt>
                <c:pt idx="4">
                  <c:v>0.22900000000000001</c:v>
                </c:pt>
                <c:pt idx="5">
                  <c:v>0.34</c:v>
                </c:pt>
                <c:pt idx="6">
                  <c:v>7.5999999999999998E-2</c:v>
                </c:pt>
                <c:pt idx="7">
                  <c:v>-8.8999999999999996E-2</c:v>
                </c:pt>
                <c:pt idx="8">
                  <c:v>-9.9000000000000005E-2</c:v>
                </c:pt>
                <c:pt idx="9">
                  <c:v>-0.124</c:v>
                </c:pt>
                <c:pt idx="10">
                  <c:v>-2E-3</c:v>
                </c:pt>
                <c:pt idx="11">
                  <c:v>0.13100000000000001</c:v>
                </c:pt>
                <c:pt idx="12">
                  <c:v>0.191</c:v>
                </c:pt>
                <c:pt idx="13">
                  <c:v>9.8000000000000004E-2</c:v>
                </c:pt>
                <c:pt idx="14">
                  <c:v>0.28100000000000003</c:v>
                </c:pt>
                <c:pt idx="15">
                  <c:v>0.26200000000000001</c:v>
                </c:pt>
                <c:pt idx="16">
                  <c:v>0.248</c:v>
                </c:pt>
                <c:pt idx="17">
                  <c:v>0.152</c:v>
                </c:pt>
              </c:numCache>
            </c:numRef>
          </c:val>
          <c:smooth val="0"/>
          <c:extLst>
            <c:ext xmlns:c16="http://schemas.microsoft.com/office/drawing/2014/chart" uri="{C3380CC4-5D6E-409C-BE32-E72D297353CC}">
              <c16:uniqueId val="{00000000-A144-4316-8319-19E9F05330E2}"/>
            </c:ext>
          </c:extLst>
        </c:ser>
        <c:ser>
          <c:idx val="1"/>
          <c:order val="1"/>
          <c:tx>
            <c:strRef>
              <c:f>'Historical Financials'!$CQ$259</c:f>
              <c:strCache>
                <c:ptCount val="1"/>
                <c:pt idx="0">
                  <c:v>Meta US &amp; Canada Ad Rev</c:v>
                </c:pt>
              </c:strCache>
            </c:strRef>
          </c:tx>
          <c:spPr>
            <a:ln w="28575" cap="rnd">
              <a:solidFill>
                <a:schemeClr val="accent2"/>
              </a:solidFill>
              <a:round/>
            </a:ln>
            <a:effectLst/>
          </c:spPr>
          <c:marker>
            <c:symbol val="none"/>
          </c:marker>
          <c:cat>
            <c:strRef>
              <c:f>'Historical Financials'!$CR$257:$DI$257</c:f>
              <c:strCache>
                <c:ptCount val="18"/>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pt idx="16">
                  <c:v>1Q24e</c:v>
                </c:pt>
                <c:pt idx="17">
                  <c:v>2Q24e</c:v>
                </c:pt>
              </c:strCache>
            </c:strRef>
          </c:cat>
          <c:val>
            <c:numRef>
              <c:f>'Historical Financials'!$CR$259:$DI$259</c:f>
              <c:numCache>
                <c:formatCode>_(* #,##0%_);_(* \(#,##0%\);_(* "-"_);_(@_)</c:formatCode>
                <c:ptCount val="18"/>
                <c:pt idx="0">
                  <c:v>0.16326530612244894</c:v>
                </c:pt>
                <c:pt idx="1">
                  <c:v>0.1392102615694164</c:v>
                </c:pt>
                <c:pt idx="2">
                  <c:v>0.20091379103041973</c:v>
                </c:pt>
                <c:pt idx="3">
                  <c:v>0.31224428699730566</c:v>
                </c:pt>
                <c:pt idx="4">
                  <c:v>0.41985917173887088</c:v>
                </c:pt>
                <c:pt idx="5">
                  <c:v>0.47543879015343848</c:v>
                </c:pt>
                <c:pt idx="6">
                  <c:v>0.31097316780136164</c:v>
                </c:pt>
                <c:pt idx="7">
                  <c:v>0.14539923954372624</c:v>
                </c:pt>
                <c:pt idx="8">
                  <c:v>1.0674960073968176E-2</c:v>
                </c:pt>
                <c:pt idx="9">
                  <c:v>-4.3244052072422545E-2</c:v>
                </c:pt>
                <c:pt idx="10">
                  <c:v>-2.5049641056972605E-2</c:v>
                </c:pt>
                <c:pt idx="11">
                  <c:v>-3.7843579869871746E-3</c:v>
                </c:pt>
                <c:pt idx="12">
                  <c:v>5.7052561543579516E-2</c:v>
                </c:pt>
                <c:pt idx="13">
                  <c:v>0.10502033156083823</c:v>
                </c:pt>
                <c:pt idx="14">
                  <c:v>0.17154942816857277</c:v>
                </c:pt>
                <c:pt idx="15">
                  <c:v>0.18520493168943686</c:v>
                </c:pt>
              </c:numCache>
            </c:numRef>
          </c:val>
          <c:smooth val="0"/>
          <c:extLst>
            <c:ext xmlns:c16="http://schemas.microsoft.com/office/drawing/2014/chart" uri="{C3380CC4-5D6E-409C-BE32-E72D297353CC}">
              <c16:uniqueId val="{00000001-A144-4316-8319-19E9F05330E2}"/>
            </c:ext>
          </c:extLst>
        </c:ser>
        <c:ser>
          <c:idx val="2"/>
          <c:order val="2"/>
          <c:tx>
            <c:strRef>
              <c:f>'Historical Financials'!$CQ$260</c:f>
              <c:strCache>
                <c:ptCount val="1"/>
                <c:pt idx="0">
                  <c:v>Meta Ad Rev, cFX</c:v>
                </c:pt>
              </c:strCache>
            </c:strRef>
          </c:tx>
          <c:spPr>
            <a:ln w="28575" cap="rnd">
              <a:solidFill>
                <a:schemeClr val="accent3"/>
              </a:solidFill>
              <a:round/>
            </a:ln>
            <a:effectLst/>
          </c:spPr>
          <c:marker>
            <c:symbol val="none"/>
          </c:marker>
          <c:cat>
            <c:strRef>
              <c:f>'Historical Financials'!$CR$257:$DI$257</c:f>
              <c:strCache>
                <c:ptCount val="18"/>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pt idx="16">
                  <c:v>1Q24e</c:v>
                </c:pt>
                <c:pt idx="17">
                  <c:v>2Q24e</c:v>
                </c:pt>
              </c:strCache>
            </c:strRef>
          </c:cat>
          <c:val>
            <c:numRef>
              <c:f>'Historical Financials'!$CR$260:$DI$260</c:f>
              <c:numCache>
                <c:formatCode>_(* #,##0%_);_(* \(#,##0%\);_(* "-"_);_(@_)</c:formatCode>
                <c:ptCount val="18"/>
                <c:pt idx="0">
                  <c:v>0.1879023605150214</c:v>
                </c:pt>
                <c:pt idx="1">
                  <c:v>0.11982675649663133</c:v>
                </c:pt>
                <c:pt idx="2">
                  <c:v>0.20824943910717364</c:v>
                </c:pt>
                <c:pt idx="3">
                  <c:v>0.29509066358024683</c:v>
                </c:pt>
                <c:pt idx="4">
                  <c:v>0.41880733944954129</c:v>
                </c:pt>
                <c:pt idx="5">
                  <c:v>0.50674089842257519</c:v>
                </c:pt>
                <c:pt idx="6">
                  <c:v>0.32720727548313766</c:v>
                </c:pt>
                <c:pt idx="7">
                  <c:v>0.21179240077978445</c:v>
                </c:pt>
                <c:pt idx="8">
                  <c:v>9.6190888006604025E-2</c:v>
                </c:pt>
                <c:pt idx="9">
                  <c:v>2.8936319104268637E-2</c:v>
                </c:pt>
                <c:pt idx="10">
                  <c:v>2.6064507002404813E-2</c:v>
                </c:pt>
                <c:pt idx="11">
                  <c:v>1.8137810594687442E-2</c:v>
                </c:pt>
                <c:pt idx="12">
                  <c:v>7.0708941403066827E-2</c:v>
                </c:pt>
                <c:pt idx="13">
                  <c:v>0.12841005967604424</c:v>
                </c:pt>
                <c:pt idx="14">
                  <c:v>0.21151374967874581</c:v>
                </c:pt>
                <c:pt idx="15">
                  <c:v>0.2125487937543995</c:v>
                </c:pt>
              </c:numCache>
            </c:numRef>
          </c:val>
          <c:smooth val="0"/>
          <c:extLst>
            <c:ext xmlns:c16="http://schemas.microsoft.com/office/drawing/2014/chart" uri="{C3380CC4-5D6E-409C-BE32-E72D297353CC}">
              <c16:uniqueId val="{00000000-29BC-4863-BBD5-687AC9E86C38}"/>
            </c:ext>
          </c:extLst>
        </c:ser>
        <c:dLbls>
          <c:showLegendKey val="0"/>
          <c:showVal val="0"/>
          <c:showCatName val="0"/>
          <c:showSerName val="0"/>
          <c:showPercent val="0"/>
          <c:showBubbleSize val="0"/>
        </c:dLbls>
        <c:smooth val="0"/>
        <c:axId val="1917370768"/>
        <c:axId val="1917371248"/>
      </c:lineChart>
      <c:catAx>
        <c:axId val="19173707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71248"/>
        <c:crosses val="autoZero"/>
        <c:auto val="1"/>
        <c:lblAlgn val="ctr"/>
        <c:lblOffset val="100"/>
        <c:noMultiLvlLbl val="0"/>
      </c:catAx>
      <c:valAx>
        <c:axId val="1917371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Y/Y % Change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7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U.S. &amp; Canada</a:t>
            </a:r>
            <a:r>
              <a:rPr lang="en-US" b="1" baseline="0"/>
              <a:t> Revenue - Q/Q Growth</a:t>
            </a:r>
          </a:p>
          <a:p>
            <a:pPr>
              <a:defRPr/>
            </a:pPr>
            <a:r>
              <a:rPr lang="en-US" i="1" baseline="0"/>
              <a:t>(Based on Customer Location)</a:t>
            </a:r>
            <a:endParaRPr lang="en-US"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'Historical Financials'!$CK$244:$CK$251</c:f>
              <c:strCache>
                <c:ptCount val="8"/>
                <c:pt idx="0">
                  <c:v>3Q17</c:v>
                </c:pt>
                <c:pt idx="1">
                  <c:v>3Q18</c:v>
                </c:pt>
                <c:pt idx="2">
                  <c:v>3Q19</c:v>
                </c:pt>
                <c:pt idx="3">
                  <c:v>3Q20</c:v>
                </c:pt>
                <c:pt idx="4">
                  <c:v>3Q21</c:v>
                </c:pt>
                <c:pt idx="5">
                  <c:v>3Q22</c:v>
                </c:pt>
                <c:pt idx="6">
                  <c:v>3Q23</c:v>
                </c:pt>
                <c:pt idx="7">
                  <c:v>3Q24</c:v>
                </c:pt>
              </c:strCache>
            </c:strRef>
          </c:cat>
          <c:val>
            <c:numRef>
              <c:f>'Historical Financials'!$CL$244:$CL$251</c:f>
              <c:numCache>
                <c:formatCode>_(* #,##0%_);_(* \(#,##0%\);_(* "-"_);_(@_)</c:formatCode>
                <c:ptCount val="8"/>
                <c:pt idx="0">
                  <c:v>0.10644643266804321</c:v>
                </c:pt>
                <c:pt idx="1">
                  <c:v>5.7338682714811018E-2</c:v>
                </c:pt>
                <c:pt idx="2">
                  <c:v>5.1624737945492605E-2</c:v>
                </c:pt>
                <c:pt idx="3">
                  <c:v>0.11300048239266758</c:v>
                </c:pt>
                <c:pt idx="4">
                  <c:v>4.4402156676182081E-3</c:v>
                </c:pt>
                <c:pt idx="5">
                  <c:v>-1.8053504021007694E-2</c:v>
                </c:pt>
                <c:pt idx="6">
                  <c:v>4.0632054176072296E-2</c:v>
                </c:pt>
                <c:pt idx="7">
                  <c:v>6.6871584699453646E-2</c:v>
                </c:pt>
              </c:numCache>
            </c:numRef>
          </c:val>
          <c:extLst>
            <c:ext xmlns:c16="http://schemas.microsoft.com/office/drawing/2014/chart" uri="{C3380CC4-5D6E-409C-BE32-E72D297353CC}">
              <c16:uniqueId val="{00000000-AFA4-40BE-9E0D-E317FAA9E110}"/>
            </c:ext>
          </c:extLst>
        </c:ser>
        <c:dLbls>
          <c:showLegendKey val="0"/>
          <c:showVal val="0"/>
          <c:showCatName val="0"/>
          <c:showSerName val="0"/>
          <c:showPercent val="0"/>
          <c:showBubbleSize val="0"/>
        </c:dLbls>
        <c:gapWidth val="219"/>
        <c:overlap val="-27"/>
        <c:axId val="723637887"/>
        <c:axId val="723634527"/>
      </c:barChart>
      <c:catAx>
        <c:axId val="72363788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634527"/>
        <c:crosses val="autoZero"/>
        <c:auto val="1"/>
        <c:lblAlgn val="ctr"/>
        <c:lblOffset val="100"/>
        <c:noMultiLvlLbl val="0"/>
      </c:catAx>
      <c:valAx>
        <c:axId val="72363452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637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Finance Lease Right-of-Use 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Sheet3!$D$6:$P$6</c:f>
              <c:strCache>
                <c:ptCount val="13"/>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strCache>
            </c:strRef>
          </c:cat>
          <c:val>
            <c:numRef>
              <c:f>Sheet3!$D$232:$P$232</c:f>
              <c:numCache>
                <c:formatCode>_(* #,##0_);_(* \(#,##0\);_(* "-"_);_(@_)</c:formatCode>
                <c:ptCount val="13"/>
                <c:pt idx="0">
                  <c:v>2398</c:v>
                </c:pt>
                <c:pt idx="1">
                  <c:v>2557</c:v>
                </c:pt>
                <c:pt idx="2">
                  <c:v>2685</c:v>
                </c:pt>
                <c:pt idx="3">
                  <c:v>2840</c:v>
                </c:pt>
                <c:pt idx="4">
                  <c:v>2955</c:v>
                </c:pt>
                <c:pt idx="5">
                  <c:v>3004</c:v>
                </c:pt>
                <c:pt idx="6">
                  <c:v>2995</c:v>
                </c:pt>
                <c:pt idx="7">
                  <c:v>3353</c:v>
                </c:pt>
                <c:pt idx="8">
                  <c:v>3573</c:v>
                </c:pt>
                <c:pt idx="9">
                  <c:v>3804</c:v>
                </c:pt>
                <c:pt idx="10">
                  <c:v>3794</c:v>
                </c:pt>
                <c:pt idx="11">
                  <c:v>4185</c:v>
                </c:pt>
                <c:pt idx="12">
                  <c:v>4323</c:v>
                </c:pt>
              </c:numCache>
            </c:numRef>
          </c:val>
          <c:extLst>
            <c:ext xmlns:c16="http://schemas.microsoft.com/office/drawing/2014/chart" uri="{C3380CC4-5D6E-409C-BE32-E72D297353CC}">
              <c16:uniqueId val="{00000000-902D-4952-98B1-1D62EBBD01D9}"/>
            </c:ext>
          </c:extLst>
        </c:ser>
        <c:dLbls>
          <c:showLegendKey val="0"/>
          <c:showVal val="0"/>
          <c:showCatName val="0"/>
          <c:showSerName val="0"/>
          <c:showPercent val="0"/>
          <c:showBubbleSize val="0"/>
        </c:dLbls>
        <c:gapWidth val="219"/>
        <c:overlap val="-27"/>
        <c:axId val="1943068047"/>
        <c:axId val="1943067087"/>
      </c:barChart>
      <c:catAx>
        <c:axId val="194306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67087"/>
        <c:crosses val="autoZero"/>
        <c:auto val="1"/>
        <c:lblAlgn val="ctr"/>
        <c:lblOffset val="100"/>
        <c:noMultiLvlLbl val="0"/>
      </c:catAx>
      <c:valAx>
        <c:axId val="194306708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68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5.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88</xdr:row>
      <xdr:rowOff>0</xdr:rowOff>
    </xdr:to>
    <xdr:cxnSp macro="">
      <xdr:nvCxnSpPr>
        <xdr:cNvPr id="3" name="Straight Connector 2">
          <a:extLst>
            <a:ext uri="{FF2B5EF4-FFF2-40B4-BE49-F238E27FC236}">
              <a16:creationId xmlns:a16="http://schemas.microsoft.com/office/drawing/2014/main" id="{82C5AAEA-BFD7-488F-9FBD-1E6A9D060680}"/>
            </a:ext>
          </a:extLst>
        </xdr:cNvPr>
        <xdr:cNvCxnSpPr/>
      </xdr:nvCxnSpPr>
      <xdr:spPr>
        <a:xfrm>
          <a:off x="6084794" y="582706"/>
          <a:ext cx="0" cy="1154205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88</xdr:row>
      <xdr:rowOff>0</xdr:rowOff>
    </xdr:to>
    <xdr:cxnSp macro="">
      <xdr:nvCxnSpPr>
        <xdr:cNvPr id="2" name="Straight Connector 1">
          <a:extLst>
            <a:ext uri="{FF2B5EF4-FFF2-40B4-BE49-F238E27FC236}">
              <a16:creationId xmlns:a16="http://schemas.microsoft.com/office/drawing/2014/main" id="{B8DBF721-E79A-4FDE-99DA-8882F741BB28}"/>
            </a:ext>
          </a:extLst>
        </xdr:cNvPr>
        <xdr:cNvCxnSpPr/>
      </xdr:nvCxnSpPr>
      <xdr:spPr>
        <a:xfrm>
          <a:off x="5100918" y="528918"/>
          <a:ext cx="0" cy="10569388"/>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88</xdr:row>
      <xdr:rowOff>0</xdr:rowOff>
    </xdr:to>
    <xdr:cxnSp macro="">
      <xdr:nvCxnSpPr>
        <xdr:cNvPr id="3" name="Straight Connector 2">
          <a:extLst>
            <a:ext uri="{FF2B5EF4-FFF2-40B4-BE49-F238E27FC236}">
              <a16:creationId xmlns:a16="http://schemas.microsoft.com/office/drawing/2014/main" id="{7203274A-1935-4E3E-BA1A-B8090C7C64E7}"/>
            </a:ext>
          </a:extLst>
        </xdr:cNvPr>
        <xdr:cNvCxnSpPr/>
      </xdr:nvCxnSpPr>
      <xdr:spPr>
        <a:xfrm>
          <a:off x="6067425" y="571500"/>
          <a:ext cx="0" cy="113728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87</xdr:row>
      <xdr:rowOff>98612</xdr:rowOff>
    </xdr:to>
    <xdr:cxnSp macro="">
      <xdr:nvCxnSpPr>
        <xdr:cNvPr id="2" name="Straight Connector 1">
          <a:extLst>
            <a:ext uri="{FF2B5EF4-FFF2-40B4-BE49-F238E27FC236}">
              <a16:creationId xmlns:a16="http://schemas.microsoft.com/office/drawing/2014/main" id="{DEC3CF08-C36F-4ADA-B021-B7BAB0110E6E}"/>
            </a:ext>
          </a:extLst>
        </xdr:cNvPr>
        <xdr:cNvCxnSpPr/>
      </xdr:nvCxnSpPr>
      <xdr:spPr>
        <a:xfrm>
          <a:off x="5100918" y="528918"/>
          <a:ext cx="0" cy="10569388"/>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88</xdr:row>
      <xdr:rowOff>0</xdr:rowOff>
    </xdr:to>
    <xdr:cxnSp macro="">
      <xdr:nvCxnSpPr>
        <xdr:cNvPr id="3" name="Straight Connector 2">
          <a:extLst>
            <a:ext uri="{FF2B5EF4-FFF2-40B4-BE49-F238E27FC236}">
              <a16:creationId xmlns:a16="http://schemas.microsoft.com/office/drawing/2014/main" id="{2FB551FF-5AA8-413E-B3EF-16ADE2E0F548}"/>
            </a:ext>
          </a:extLst>
        </xdr:cNvPr>
        <xdr:cNvCxnSpPr/>
      </xdr:nvCxnSpPr>
      <xdr:spPr>
        <a:xfrm>
          <a:off x="6067425" y="571500"/>
          <a:ext cx="0" cy="113728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88</xdr:row>
      <xdr:rowOff>1524</xdr:rowOff>
    </xdr:to>
    <xdr:cxnSp macro="">
      <xdr:nvCxnSpPr>
        <xdr:cNvPr id="2" name="Straight Connector 1">
          <a:extLst>
            <a:ext uri="{FF2B5EF4-FFF2-40B4-BE49-F238E27FC236}">
              <a16:creationId xmlns:a16="http://schemas.microsoft.com/office/drawing/2014/main" id="{D1225BAE-C8C0-4972-98F7-6F9D99B88160}"/>
            </a:ext>
          </a:extLst>
        </xdr:cNvPr>
        <xdr:cNvCxnSpPr/>
      </xdr:nvCxnSpPr>
      <xdr:spPr>
        <a:xfrm>
          <a:off x="5097780" y="678180"/>
          <a:ext cx="0" cy="10844784"/>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5</xdr:row>
      <xdr:rowOff>0</xdr:rowOff>
    </xdr:from>
    <xdr:to>
      <xdr:col>9</xdr:col>
      <xdr:colOff>0</xdr:colOff>
      <xdr:row>164</xdr:row>
      <xdr:rowOff>38100</xdr:rowOff>
    </xdr:to>
    <xdr:cxnSp macro="">
      <xdr:nvCxnSpPr>
        <xdr:cNvPr id="3" name="Straight Connector 2">
          <a:extLst>
            <a:ext uri="{FF2B5EF4-FFF2-40B4-BE49-F238E27FC236}">
              <a16:creationId xmlns:a16="http://schemas.microsoft.com/office/drawing/2014/main" id="{4861B7E9-31EE-FFD8-A683-2F614A57310C}"/>
            </a:ext>
          </a:extLst>
        </xdr:cNvPr>
        <xdr:cNvCxnSpPr/>
      </xdr:nvCxnSpPr>
      <xdr:spPr>
        <a:xfrm>
          <a:off x="6429375" y="714375"/>
          <a:ext cx="0" cy="4953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5</xdr:row>
      <xdr:rowOff>0</xdr:rowOff>
    </xdr:from>
    <xdr:to>
      <xdr:col>10</xdr:col>
      <xdr:colOff>0</xdr:colOff>
      <xdr:row>164</xdr:row>
      <xdr:rowOff>38100</xdr:rowOff>
    </xdr:to>
    <xdr:cxnSp macro="">
      <xdr:nvCxnSpPr>
        <xdr:cNvPr id="5" name="Straight Connector 4">
          <a:extLst>
            <a:ext uri="{FF2B5EF4-FFF2-40B4-BE49-F238E27FC236}">
              <a16:creationId xmlns:a16="http://schemas.microsoft.com/office/drawing/2014/main" id="{B50D0F80-1F59-4203-AC23-BAD33BB8BBE4}"/>
            </a:ext>
          </a:extLst>
        </xdr:cNvPr>
        <xdr:cNvCxnSpPr/>
      </xdr:nvCxnSpPr>
      <xdr:spPr>
        <a:xfrm>
          <a:off x="7105650" y="714375"/>
          <a:ext cx="0" cy="4953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4</xdr:row>
      <xdr:rowOff>2922</xdr:rowOff>
    </xdr:from>
    <xdr:to>
      <xdr:col>7</xdr:col>
      <xdr:colOff>0</xdr:colOff>
      <xdr:row>662</xdr:row>
      <xdr:rowOff>36052</xdr:rowOff>
    </xdr:to>
    <xdr:cxnSp macro="">
      <xdr:nvCxnSpPr>
        <xdr:cNvPr id="2" name="Straight Connector 1">
          <a:extLst>
            <a:ext uri="{FF2B5EF4-FFF2-40B4-BE49-F238E27FC236}">
              <a16:creationId xmlns:a16="http://schemas.microsoft.com/office/drawing/2014/main" id="{DDF2DF7C-6201-4916-959E-C09646DB8868}"/>
            </a:ext>
          </a:extLst>
        </xdr:cNvPr>
        <xdr:cNvCxnSpPr/>
      </xdr:nvCxnSpPr>
      <xdr:spPr>
        <a:xfrm>
          <a:off x="1857375" y="555372"/>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3313</xdr:colOff>
      <xdr:row>3</xdr:row>
      <xdr:rowOff>138756</xdr:rowOff>
    </xdr:from>
    <xdr:to>
      <xdr:col>11</xdr:col>
      <xdr:colOff>3313</xdr:colOff>
      <xdr:row>662</xdr:row>
      <xdr:rowOff>31082</xdr:rowOff>
    </xdr:to>
    <xdr:cxnSp macro="">
      <xdr:nvCxnSpPr>
        <xdr:cNvPr id="3" name="Straight Connector 2">
          <a:extLst>
            <a:ext uri="{FF2B5EF4-FFF2-40B4-BE49-F238E27FC236}">
              <a16:creationId xmlns:a16="http://schemas.microsoft.com/office/drawing/2014/main" id="{DD704394-8BB8-4698-AA2D-BBE886EB748A}"/>
            </a:ext>
          </a:extLst>
        </xdr:cNvPr>
        <xdr:cNvCxnSpPr/>
      </xdr:nvCxnSpPr>
      <xdr:spPr>
        <a:xfrm>
          <a:off x="1857375" y="548331"/>
          <a:ext cx="0" cy="9350402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1753</xdr:colOff>
      <xdr:row>4</xdr:row>
      <xdr:rowOff>1265</xdr:rowOff>
    </xdr:from>
    <xdr:to>
      <xdr:col>15</xdr:col>
      <xdr:colOff>1753</xdr:colOff>
      <xdr:row>662</xdr:row>
      <xdr:rowOff>34395</xdr:rowOff>
    </xdr:to>
    <xdr:cxnSp macro="">
      <xdr:nvCxnSpPr>
        <xdr:cNvPr id="4" name="Straight Connector 3">
          <a:extLst>
            <a:ext uri="{FF2B5EF4-FFF2-40B4-BE49-F238E27FC236}">
              <a16:creationId xmlns:a16="http://schemas.microsoft.com/office/drawing/2014/main" id="{5EFE9CB1-A15A-4297-8DA9-FE2D0B1C00A4}"/>
            </a:ext>
          </a:extLst>
        </xdr:cNvPr>
        <xdr:cNvCxnSpPr/>
      </xdr:nvCxnSpPr>
      <xdr:spPr>
        <a:xfrm>
          <a:off x="8316518" y="561559"/>
          <a:ext cx="0" cy="9505901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xdr:row>
      <xdr:rowOff>0</xdr:rowOff>
    </xdr:from>
    <xdr:to>
      <xdr:col>19</xdr:col>
      <xdr:colOff>0</xdr:colOff>
      <xdr:row>662</xdr:row>
      <xdr:rowOff>33130</xdr:rowOff>
    </xdr:to>
    <xdr:cxnSp macro="">
      <xdr:nvCxnSpPr>
        <xdr:cNvPr id="5" name="Straight Connector 4">
          <a:extLst>
            <a:ext uri="{FF2B5EF4-FFF2-40B4-BE49-F238E27FC236}">
              <a16:creationId xmlns:a16="http://schemas.microsoft.com/office/drawing/2014/main" id="{D32A1BF7-CE9B-4200-B525-2C789A7AF14D}"/>
            </a:ext>
          </a:extLst>
        </xdr:cNvPr>
        <xdr:cNvCxnSpPr/>
      </xdr:nvCxnSpPr>
      <xdr:spPr>
        <a:xfrm>
          <a:off x="1857375" y="552450"/>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3314</xdr:colOff>
      <xdr:row>4</xdr:row>
      <xdr:rowOff>11596</xdr:rowOff>
    </xdr:from>
    <xdr:to>
      <xdr:col>23</xdr:col>
      <xdr:colOff>3314</xdr:colOff>
      <xdr:row>662</xdr:row>
      <xdr:rowOff>44726</xdr:rowOff>
    </xdr:to>
    <xdr:cxnSp macro="">
      <xdr:nvCxnSpPr>
        <xdr:cNvPr id="6" name="Straight Connector 5">
          <a:extLst>
            <a:ext uri="{FF2B5EF4-FFF2-40B4-BE49-F238E27FC236}">
              <a16:creationId xmlns:a16="http://schemas.microsoft.com/office/drawing/2014/main" id="{E89E684D-A356-4B69-B220-DE0323A3A5D3}"/>
            </a:ext>
          </a:extLst>
        </xdr:cNvPr>
        <xdr:cNvCxnSpPr/>
      </xdr:nvCxnSpPr>
      <xdr:spPr>
        <a:xfrm>
          <a:off x="1857375" y="564046"/>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4556</xdr:colOff>
      <xdr:row>3</xdr:row>
      <xdr:rowOff>139148</xdr:rowOff>
    </xdr:from>
    <xdr:to>
      <xdr:col>27</xdr:col>
      <xdr:colOff>4556</xdr:colOff>
      <xdr:row>662</xdr:row>
      <xdr:rowOff>31474</xdr:rowOff>
    </xdr:to>
    <xdr:cxnSp macro="">
      <xdr:nvCxnSpPr>
        <xdr:cNvPr id="7" name="Straight Connector 6">
          <a:extLst>
            <a:ext uri="{FF2B5EF4-FFF2-40B4-BE49-F238E27FC236}">
              <a16:creationId xmlns:a16="http://schemas.microsoft.com/office/drawing/2014/main" id="{CA40A6FD-FE17-4E61-B3B8-AE1FEA0654F1}"/>
            </a:ext>
          </a:extLst>
        </xdr:cNvPr>
        <xdr:cNvCxnSpPr/>
      </xdr:nvCxnSpPr>
      <xdr:spPr>
        <a:xfrm>
          <a:off x="1857375" y="548723"/>
          <a:ext cx="0" cy="9350402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1657</xdr:colOff>
      <xdr:row>4</xdr:row>
      <xdr:rowOff>1657</xdr:rowOff>
    </xdr:from>
    <xdr:to>
      <xdr:col>31</xdr:col>
      <xdr:colOff>1657</xdr:colOff>
      <xdr:row>662</xdr:row>
      <xdr:rowOff>34787</xdr:rowOff>
    </xdr:to>
    <xdr:cxnSp macro="">
      <xdr:nvCxnSpPr>
        <xdr:cNvPr id="8" name="Straight Connector 7">
          <a:extLst>
            <a:ext uri="{FF2B5EF4-FFF2-40B4-BE49-F238E27FC236}">
              <a16:creationId xmlns:a16="http://schemas.microsoft.com/office/drawing/2014/main" id="{ED315E62-27BA-412A-B753-C8001DF487F5}"/>
            </a:ext>
          </a:extLst>
        </xdr:cNvPr>
        <xdr:cNvCxnSpPr/>
      </xdr:nvCxnSpPr>
      <xdr:spPr>
        <a:xfrm>
          <a:off x="1859032" y="554107"/>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2899</xdr:colOff>
      <xdr:row>3</xdr:row>
      <xdr:rowOff>144061</xdr:rowOff>
    </xdr:from>
    <xdr:to>
      <xdr:col>73</xdr:col>
      <xdr:colOff>2899</xdr:colOff>
      <xdr:row>662</xdr:row>
      <xdr:rowOff>36387</xdr:rowOff>
    </xdr:to>
    <xdr:cxnSp macro="">
      <xdr:nvCxnSpPr>
        <xdr:cNvPr id="9" name="Straight Connector 8">
          <a:extLst>
            <a:ext uri="{FF2B5EF4-FFF2-40B4-BE49-F238E27FC236}">
              <a16:creationId xmlns:a16="http://schemas.microsoft.com/office/drawing/2014/main" id="{8B4C572E-16FC-49E4-95D4-B3FE1917CA6B}"/>
            </a:ext>
          </a:extLst>
        </xdr:cNvPr>
        <xdr:cNvCxnSpPr/>
      </xdr:nvCxnSpPr>
      <xdr:spPr>
        <a:xfrm>
          <a:off x="15328296" y="557906"/>
          <a:ext cx="0" cy="7744553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xdr:row>
      <xdr:rowOff>13608</xdr:rowOff>
    </xdr:from>
    <xdr:to>
      <xdr:col>12</xdr:col>
      <xdr:colOff>0</xdr:colOff>
      <xdr:row>662</xdr:row>
      <xdr:rowOff>55612</xdr:rowOff>
    </xdr:to>
    <xdr:cxnSp macro="">
      <xdr:nvCxnSpPr>
        <xdr:cNvPr id="10" name="Straight Connector 9">
          <a:extLst>
            <a:ext uri="{FF2B5EF4-FFF2-40B4-BE49-F238E27FC236}">
              <a16:creationId xmlns:a16="http://schemas.microsoft.com/office/drawing/2014/main" id="{1A8066C3-A0E5-4FAB-87E8-BA848D03805B}"/>
            </a:ext>
          </a:extLst>
        </xdr:cNvPr>
        <xdr:cNvCxnSpPr/>
      </xdr:nvCxnSpPr>
      <xdr:spPr>
        <a:xfrm>
          <a:off x="1857375" y="566058"/>
          <a:ext cx="0" cy="935108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4</xdr:row>
      <xdr:rowOff>0</xdr:rowOff>
    </xdr:from>
    <xdr:to>
      <xdr:col>35</xdr:col>
      <xdr:colOff>0</xdr:colOff>
      <xdr:row>662</xdr:row>
      <xdr:rowOff>33130</xdr:rowOff>
    </xdr:to>
    <xdr:cxnSp macro="">
      <xdr:nvCxnSpPr>
        <xdr:cNvPr id="17" name="Straight Connector 16">
          <a:extLst>
            <a:ext uri="{FF2B5EF4-FFF2-40B4-BE49-F238E27FC236}">
              <a16:creationId xmlns:a16="http://schemas.microsoft.com/office/drawing/2014/main" id="{51532B3E-7D83-4C4E-A005-08688F24EE9A}"/>
            </a:ext>
          </a:extLst>
        </xdr:cNvPr>
        <xdr:cNvCxnSpPr/>
      </xdr:nvCxnSpPr>
      <xdr:spPr>
        <a:xfrm>
          <a:off x="3990975" y="552450"/>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515470</xdr:colOff>
      <xdr:row>4</xdr:row>
      <xdr:rowOff>0</xdr:rowOff>
    </xdr:from>
    <xdr:to>
      <xdr:col>38</xdr:col>
      <xdr:colOff>515470</xdr:colOff>
      <xdr:row>662</xdr:row>
      <xdr:rowOff>33130</xdr:rowOff>
    </xdr:to>
    <xdr:cxnSp macro="">
      <xdr:nvCxnSpPr>
        <xdr:cNvPr id="18" name="Straight Connector 17">
          <a:extLst>
            <a:ext uri="{FF2B5EF4-FFF2-40B4-BE49-F238E27FC236}">
              <a16:creationId xmlns:a16="http://schemas.microsoft.com/office/drawing/2014/main" id="{EF077A98-927B-463C-8C4C-C0A33BC57054}"/>
            </a:ext>
          </a:extLst>
        </xdr:cNvPr>
        <xdr:cNvCxnSpPr/>
      </xdr:nvCxnSpPr>
      <xdr:spPr>
        <a:xfrm>
          <a:off x="21201529" y="560294"/>
          <a:ext cx="0" cy="8909748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4</xdr:row>
      <xdr:rowOff>0</xdr:rowOff>
    </xdr:from>
    <xdr:to>
      <xdr:col>43</xdr:col>
      <xdr:colOff>0</xdr:colOff>
      <xdr:row>662</xdr:row>
      <xdr:rowOff>33130</xdr:rowOff>
    </xdr:to>
    <xdr:cxnSp macro="">
      <xdr:nvCxnSpPr>
        <xdr:cNvPr id="19" name="Straight Connector 18">
          <a:extLst>
            <a:ext uri="{FF2B5EF4-FFF2-40B4-BE49-F238E27FC236}">
              <a16:creationId xmlns:a16="http://schemas.microsoft.com/office/drawing/2014/main" id="{7C0EDE2A-D9F8-45B7-91C9-2DBA2BA9636B}"/>
            </a:ext>
          </a:extLst>
        </xdr:cNvPr>
        <xdr:cNvCxnSpPr/>
      </xdr:nvCxnSpPr>
      <xdr:spPr>
        <a:xfrm>
          <a:off x="8258175" y="552450"/>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xdr:row>
      <xdr:rowOff>0</xdr:rowOff>
    </xdr:from>
    <xdr:to>
      <xdr:col>47</xdr:col>
      <xdr:colOff>0</xdr:colOff>
      <xdr:row>662</xdr:row>
      <xdr:rowOff>33130</xdr:rowOff>
    </xdr:to>
    <xdr:cxnSp macro="">
      <xdr:nvCxnSpPr>
        <xdr:cNvPr id="22" name="Straight Connector 21">
          <a:extLst>
            <a:ext uri="{FF2B5EF4-FFF2-40B4-BE49-F238E27FC236}">
              <a16:creationId xmlns:a16="http://schemas.microsoft.com/office/drawing/2014/main" id="{D8159654-9CD8-4FC9-9C3E-06755B6517A4}"/>
            </a:ext>
          </a:extLst>
        </xdr:cNvPr>
        <xdr:cNvCxnSpPr/>
      </xdr:nvCxnSpPr>
      <xdr:spPr>
        <a:xfrm>
          <a:off x="8258175" y="552450"/>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4</xdr:row>
      <xdr:rowOff>0</xdr:rowOff>
    </xdr:from>
    <xdr:to>
      <xdr:col>51</xdr:col>
      <xdr:colOff>0</xdr:colOff>
      <xdr:row>662</xdr:row>
      <xdr:rowOff>33130</xdr:rowOff>
    </xdr:to>
    <xdr:cxnSp macro="">
      <xdr:nvCxnSpPr>
        <xdr:cNvPr id="24" name="Straight Connector 23">
          <a:extLst>
            <a:ext uri="{FF2B5EF4-FFF2-40B4-BE49-F238E27FC236}">
              <a16:creationId xmlns:a16="http://schemas.microsoft.com/office/drawing/2014/main" id="{50D466D6-F64A-41B0-BC06-3976AD909E8F}"/>
            </a:ext>
          </a:extLst>
        </xdr:cNvPr>
        <xdr:cNvCxnSpPr/>
      </xdr:nvCxnSpPr>
      <xdr:spPr>
        <a:xfrm>
          <a:off x="10355036" y="571500"/>
          <a:ext cx="0" cy="8020641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0</xdr:colOff>
      <xdr:row>4</xdr:row>
      <xdr:rowOff>0</xdr:rowOff>
    </xdr:from>
    <xdr:to>
      <xdr:col>55</xdr:col>
      <xdr:colOff>0</xdr:colOff>
      <xdr:row>662</xdr:row>
      <xdr:rowOff>33130</xdr:rowOff>
    </xdr:to>
    <xdr:cxnSp macro="">
      <xdr:nvCxnSpPr>
        <xdr:cNvPr id="13" name="Straight Connector 12">
          <a:extLst>
            <a:ext uri="{FF2B5EF4-FFF2-40B4-BE49-F238E27FC236}">
              <a16:creationId xmlns:a16="http://schemas.microsoft.com/office/drawing/2014/main" id="{25FC7D34-1214-436F-9F87-8ADA878DA923}"/>
            </a:ext>
          </a:extLst>
        </xdr:cNvPr>
        <xdr:cNvCxnSpPr/>
      </xdr:nvCxnSpPr>
      <xdr:spPr>
        <a:xfrm>
          <a:off x="12617824" y="560294"/>
          <a:ext cx="0" cy="864753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0</xdr:colOff>
      <xdr:row>4</xdr:row>
      <xdr:rowOff>0</xdr:rowOff>
    </xdr:from>
    <xdr:to>
      <xdr:col>59</xdr:col>
      <xdr:colOff>0</xdr:colOff>
      <xdr:row>662</xdr:row>
      <xdr:rowOff>33130</xdr:rowOff>
    </xdr:to>
    <xdr:cxnSp macro="">
      <xdr:nvCxnSpPr>
        <xdr:cNvPr id="12" name="Straight Connector 11">
          <a:extLst>
            <a:ext uri="{FF2B5EF4-FFF2-40B4-BE49-F238E27FC236}">
              <a16:creationId xmlns:a16="http://schemas.microsoft.com/office/drawing/2014/main" id="{81E26743-FC26-4C13-95CB-5B2CB14AF571}"/>
            </a:ext>
          </a:extLst>
        </xdr:cNvPr>
        <xdr:cNvCxnSpPr/>
      </xdr:nvCxnSpPr>
      <xdr:spPr>
        <a:xfrm>
          <a:off x="14769353" y="560294"/>
          <a:ext cx="0" cy="8909748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0</xdr:colOff>
      <xdr:row>4</xdr:row>
      <xdr:rowOff>0</xdr:rowOff>
    </xdr:from>
    <xdr:to>
      <xdr:col>85</xdr:col>
      <xdr:colOff>0</xdr:colOff>
      <xdr:row>662</xdr:row>
      <xdr:rowOff>35201</xdr:rowOff>
    </xdr:to>
    <xdr:cxnSp macro="">
      <xdr:nvCxnSpPr>
        <xdr:cNvPr id="11" name="Straight Connector 10">
          <a:extLst>
            <a:ext uri="{FF2B5EF4-FFF2-40B4-BE49-F238E27FC236}">
              <a16:creationId xmlns:a16="http://schemas.microsoft.com/office/drawing/2014/main" id="{E8AB468C-BABD-492F-8D51-C0746992898B}"/>
            </a:ext>
          </a:extLst>
        </xdr:cNvPr>
        <xdr:cNvCxnSpPr/>
      </xdr:nvCxnSpPr>
      <xdr:spPr>
        <a:xfrm>
          <a:off x="22293943" y="555171"/>
          <a:ext cx="0" cy="8255980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116540</xdr:colOff>
      <xdr:row>261</xdr:row>
      <xdr:rowOff>31377</xdr:rowOff>
    </xdr:from>
    <xdr:to>
      <xdr:col>107</xdr:col>
      <xdr:colOff>425285</xdr:colOff>
      <xdr:row>283</xdr:row>
      <xdr:rowOff>0</xdr:rowOff>
    </xdr:to>
    <xdr:graphicFrame macro="">
      <xdr:nvGraphicFramePr>
        <xdr:cNvPr id="14" name="Chart 13">
          <a:extLst>
            <a:ext uri="{FF2B5EF4-FFF2-40B4-BE49-F238E27FC236}">
              <a16:creationId xmlns:a16="http://schemas.microsoft.com/office/drawing/2014/main" id="{A11B2635-ACDD-5A84-83C6-E735B6391A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63</xdr:col>
      <xdr:colOff>0</xdr:colOff>
      <xdr:row>4</xdr:row>
      <xdr:rowOff>0</xdr:rowOff>
    </xdr:from>
    <xdr:to>
      <xdr:col>63</xdr:col>
      <xdr:colOff>0</xdr:colOff>
      <xdr:row>662</xdr:row>
      <xdr:rowOff>33130</xdr:rowOff>
    </xdr:to>
    <xdr:cxnSp macro="">
      <xdr:nvCxnSpPr>
        <xdr:cNvPr id="15" name="Straight Connector 14">
          <a:extLst>
            <a:ext uri="{FF2B5EF4-FFF2-40B4-BE49-F238E27FC236}">
              <a16:creationId xmlns:a16="http://schemas.microsoft.com/office/drawing/2014/main" id="{ECD111E2-5065-4892-8223-3C4D1EC07920}"/>
            </a:ext>
          </a:extLst>
        </xdr:cNvPr>
        <xdr:cNvCxnSpPr/>
      </xdr:nvCxnSpPr>
      <xdr:spPr>
        <a:xfrm>
          <a:off x="14769353" y="560294"/>
          <a:ext cx="0" cy="9634768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0</xdr:colOff>
      <xdr:row>4</xdr:row>
      <xdr:rowOff>0</xdr:rowOff>
    </xdr:from>
    <xdr:to>
      <xdr:col>62</xdr:col>
      <xdr:colOff>0</xdr:colOff>
      <xdr:row>662</xdr:row>
      <xdr:rowOff>33130</xdr:rowOff>
    </xdr:to>
    <xdr:cxnSp macro="">
      <xdr:nvCxnSpPr>
        <xdr:cNvPr id="20" name="Straight Connector 19">
          <a:extLst>
            <a:ext uri="{FF2B5EF4-FFF2-40B4-BE49-F238E27FC236}">
              <a16:creationId xmlns:a16="http://schemas.microsoft.com/office/drawing/2014/main" id="{EB4833D6-3AB5-4ABE-B5DC-CE63FB09C88A}"/>
            </a:ext>
          </a:extLst>
        </xdr:cNvPr>
        <xdr:cNvCxnSpPr/>
      </xdr:nvCxnSpPr>
      <xdr:spPr>
        <a:xfrm>
          <a:off x="13079506" y="528918"/>
          <a:ext cx="0" cy="8486614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98612</xdr:colOff>
      <xdr:row>215</xdr:row>
      <xdr:rowOff>107576</xdr:rowOff>
    </xdr:from>
    <xdr:to>
      <xdr:col>104</xdr:col>
      <xdr:colOff>340659</xdr:colOff>
      <xdr:row>242</xdr:row>
      <xdr:rowOff>44824</xdr:rowOff>
    </xdr:to>
    <xdr:graphicFrame macro="">
      <xdr:nvGraphicFramePr>
        <xdr:cNvPr id="16" name="Chart 15">
          <a:extLst>
            <a:ext uri="{FF2B5EF4-FFF2-40B4-BE49-F238E27FC236}">
              <a16:creationId xmlns:a16="http://schemas.microsoft.com/office/drawing/2014/main" id="{D8D4DFA0-CDE6-7799-6761-CE7450B0E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0</xdr:colOff>
      <xdr:row>5</xdr:row>
      <xdr:rowOff>0</xdr:rowOff>
    </xdr:from>
    <xdr:to>
      <xdr:col>17</xdr:col>
      <xdr:colOff>0</xdr:colOff>
      <xdr:row>196</xdr:row>
      <xdr:rowOff>33618</xdr:rowOff>
    </xdr:to>
    <xdr:cxnSp macro="">
      <xdr:nvCxnSpPr>
        <xdr:cNvPr id="2" name="Straight Connector 1">
          <a:extLst>
            <a:ext uri="{FF2B5EF4-FFF2-40B4-BE49-F238E27FC236}">
              <a16:creationId xmlns:a16="http://schemas.microsoft.com/office/drawing/2014/main" id="{7A29ED10-8887-4240-B263-F5D8625BBCCF}"/>
            </a:ext>
          </a:extLst>
        </xdr:cNvPr>
        <xdr:cNvCxnSpPr/>
      </xdr:nvCxnSpPr>
      <xdr:spPr>
        <a:xfrm>
          <a:off x="7418294" y="728382"/>
          <a:ext cx="0" cy="15385677"/>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0</xdr:colOff>
      <xdr:row>5</xdr:row>
      <xdr:rowOff>0</xdr:rowOff>
    </xdr:from>
    <xdr:to>
      <xdr:col>17</xdr:col>
      <xdr:colOff>0</xdr:colOff>
      <xdr:row>198</xdr:row>
      <xdr:rowOff>0</xdr:rowOff>
    </xdr:to>
    <xdr:cxnSp macro="">
      <xdr:nvCxnSpPr>
        <xdr:cNvPr id="2" name="Straight Connector 1">
          <a:extLst>
            <a:ext uri="{FF2B5EF4-FFF2-40B4-BE49-F238E27FC236}">
              <a16:creationId xmlns:a16="http://schemas.microsoft.com/office/drawing/2014/main" id="{AD7343C0-29A6-4413-8BAE-44FC8AF6CDED}"/>
            </a:ext>
          </a:extLst>
        </xdr:cNvPr>
        <xdr:cNvCxnSpPr/>
      </xdr:nvCxnSpPr>
      <xdr:spPr>
        <a:xfrm>
          <a:off x="6750424" y="627529"/>
          <a:ext cx="0" cy="1429870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0</xdr:colOff>
      <xdr:row>5</xdr:row>
      <xdr:rowOff>0</xdr:rowOff>
    </xdr:from>
    <xdr:to>
      <xdr:col>17</xdr:col>
      <xdr:colOff>0</xdr:colOff>
      <xdr:row>194</xdr:row>
      <xdr:rowOff>33618</xdr:rowOff>
    </xdr:to>
    <xdr:cxnSp macro="">
      <xdr:nvCxnSpPr>
        <xdr:cNvPr id="2" name="Straight Connector 1">
          <a:extLst>
            <a:ext uri="{FF2B5EF4-FFF2-40B4-BE49-F238E27FC236}">
              <a16:creationId xmlns:a16="http://schemas.microsoft.com/office/drawing/2014/main" id="{D56D40CE-302B-49A5-9250-6F0C44D9CB8D}"/>
            </a:ext>
          </a:extLst>
        </xdr:cNvPr>
        <xdr:cNvCxnSpPr/>
      </xdr:nvCxnSpPr>
      <xdr:spPr>
        <a:xfrm>
          <a:off x="7418294" y="728382"/>
          <a:ext cx="0" cy="15385677"/>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0</xdr:colOff>
      <xdr:row>5</xdr:row>
      <xdr:rowOff>0</xdr:rowOff>
    </xdr:from>
    <xdr:to>
      <xdr:col>7</xdr:col>
      <xdr:colOff>0</xdr:colOff>
      <xdr:row>68</xdr:row>
      <xdr:rowOff>56029</xdr:rowOff>
    </xdr:to>
    <xdr:cxnSp macro="">
      <xdr:nvCxnSpPr>
        <xdr:cNvPr id="3" name="Straight Connector 2">
          <a:extLst>
            <a:ext uri="{FF2B5EF4-FFF2-40B4-BE49-F238E27FC236}">
              <a16:creationId xmlns:a16="http://schemas.microsoft.com/office/drawing/2014/main" id="{225E6400-28F5-8209-559E-DCD3E1158743}"/>
            </a:ext>
          </a:extLst>
        </xdr:cNvPr>
        <xdr:cNvCxnSpPr/>
      </xdr:nvCxnSpPr>
      <xdr:spPr>
        <a:xfrm>
          <a:off x="3866029" y="728382"/>
          <a:ext cx="0" cy="9144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5</xdr:row>
      <xdr:rowOff>0</xdr:rowOff>
    </xdr:from>
    <xdr:to>
      <xdr:col>11</xdr:col>
      <xdr:colOff>0</xdr:colOff>
      <xdr:row>68</xdr:row>
      <xdr:rowOff>56029</xdr:rowOff>
    </xdr:to>
    <xdr:cxnSp macro="">
      <xdr:nvCxnSpPr>
        <xdr:cNvPr id="4" name="Straight Connector 3">
          <a:extLst>
            <a:ext uri="{FF2B5EF4-FFF2-40B4-BE49-F238E27FC236}">
              <a16:creationId xmlns:a16="http://schemas.microsoft.com/office/drawing/2014/main" id="{7768861C-5CD4-4EC6-BB33-82BE2D44D091}"/>
            </a:ext>
          </a:extLst>
        </xdr:cNvPr>
        <xdr:cNvCxnSpPr/>
      </xdr:nvCxnSpPr>
      <xdr:spPr>
        <a:xfrm>
          <a:off x="6241676" y="728382"/>
          <a:ext cx="0" cy="9144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xdr:row>
      <xdr:rowOff>0</xdr:rowOff>
    </xdr:from>
    <xdr:to>
      <xdr:col>15</xdr:col>
      <xdr:colOff>0</xdr:colOff>
      <xdr:row>68</xdr:row>
      <xdr:rowOff>56029</xdr:rowOff>
    </xdr:to>
    <xdr:cxnSp macro="">
      <xdr:nvCxnSpPr>
        <xdr:cNvPr id="5" name="Straight Connector 4">
          <a:extLst>
            <a:ext uri="{FF2B5EF4-FFF2-40B4-BE49-F238E27FC236}">
              <a16:creationId xmlns:a16="http://schemas.microsoft.com/office/drawing/2014/main" id="{2001CFBE-0CC6-4518-AADB-00F831F91DBA}"/>
            </a:ext>
          </a:extLst>
        </xdr:cNvPr>
        <xdr:cNvCxnSpPr/>
      </xdr:nvCxnSpPr>
      <xdr:spPr>
        <a:xfrm>
          <a:off x="8617324" y="728382"/>
          <a:ext cx="0" cy="9144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68</xdr:row>
      <xdr:rowOff>56029</xdr:rowOff>
    </xdr:to>
    <xdr:cxnSp macro="">
      <xdr:nvCxnSpPr>
        <xdr:cNvPr id="6" name="Straight Connector 5">
          <a:extLst>
            <a:ext uri="{FF2B5EF4-FFF2-40B4-BE49-F238E27FC236}">
              <a16:creationId xmlns:a16="http://schemas.microsoft.com/office/drawing/2014/main" id="{40CACA36-92B7-4A07-B058-17C4145E9B46}"/>
            </a:ext>
          </a:extLst>
        </xdr:cNvPr>
        <xdr:cNvCxnSpPr/>
      </xdr:nvCxnSpPr>
      <xdr:spPr>
        <a:xfrm>
          <a:off x="15150353" y="728382"/>
          <a:ext cx="0" cy="9144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xdr:row>
      <xdr:rowOff>0</xdr:rowOff>
    </xdr:from>
    <xdr:to>
      <xdr:col>16</xdr:col>
      <xdr:colOff>0</xdr:colOff>
      <xdr:row>68</xdr:row>
      <xdr:rowOff>56029</xdr:rowOff>
    </xdr:to>
    <xdr:cxnSp macro="">
      <xdr:nvCxnSpPr>
        <xdr:cNvPr id="7" name="Straight Connector 6">
          <a:extLst>
            <a:ext uri="{FF2B5EF4-FFF2-40B4-BE49-F238E27FC236}">
              <a16:creationId xmlns:a16="http://schemas.microsoft.com/office/drawing/2014/main" id="{C163EF64-ABA7-4174-985B-8941FAC5520F}"/>
            </a:ext>
          </a:extLst>
        </xdr:cNvPr>
        <xdr:cNvCxnSpPr/>
      </xdr:nvCxnSpPr>
      <xdr:spPr>
        <a:xfrm>
          <a:off x="9211235" y="728382"/>
          <a:ext cx="0" cy="9144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140073</xdr:colOff>
      <xdr:row>24</xdr:row>
      <xdr:rowOff>1120</xdr:rowOff>
    </xdr:from>
    <xdr:to>
      <xdr:col>43</xdr:col>
      <xdr:colOff>168088</xdr:colOff>
      <xdr:row>51</xdr:row>
      <xdr:rowOff>11207</xdr:rowOff>
    </xdr:to>
    <xdr:graphicFrame macro="">
      <xdr:nvGraphicFramePr>
        <xdr:cNvPr id="2" name="Chart 1">
          <a:extLst>
            <a:ext uri="{FF2B5EF4-FFF2-40B4-BE49-F238E27FC236}">
              <a16:creationId xmlns:a16="http://schemas.microsoft.com/office/drawing/2014/main" id="{4369167F-BBC0-F777-4A39-C0D483717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0</xdr:colOff>
      <xdr:row>5</xdr:row>
      <xdr:rowOff>0</xdr:rowOff>
    </xdr:from>
    <xdr:to>
      <xdr:col>11</xdr:col>
      <xdr:colOff>0</xdr:colOff>
      <xdr:row>57</xdr:row>
      <xdr:rowOff>100853</xdr:rowOff>
    </xdr:to>
    <xdr:cxnSp macro="">
      <xdr:nvCxnSpPr>
        <xdr:cNvPr id="2" name="Straight Connector 1">
          <a:extLst>
            <a:ext uri="{FF2B5EF4-FFF2-40B4-BE49-F238E27FC236}">
              <a16:creationId xmlns:a16="http://schemas.microsoft.com/office/drawing/2014/main" id="{2F510839-37DB-47CD-A944-F2A93E76EAF7}"/>
            </a:ext>
          </a:extLst>
        </xdr:cNvPr>
        <xdr:cNvCxnSpPr/>
      </xdr:nvCxnSpPr>
      <xdr:spPr>
        <a:xfrm>
          <a:off x="19507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514350</xdr:colOff>
      <xdr:row>5</xdr:row>
      <xdr:rowOff>0</xdr:rowOff>
    </xdr:from>
    <xdr:to>
      <xdr:col>14</xdr:col>
      <xdr:colOff>514350</xdr:colOff>
      <xdr:row>57</xdr:row>
      <xdr:rowOff>100853</xdr:rowOff>
    </xdr:to>
    <xdr:cxnSp macro="">
      <xdr:nvCxnSpPr>
        <xdr:cNvPr id="3" name="Straight Connector 2">
          <a:extLst>
            <a:ext uri="{FF2B5EF4-FFF2-40B4-BE49-F238E27FC236}">
              <a16:creationId xmlns:a16="http://schemas.microsoft.com/office/drawing/2014/main" id="{2B2F03C1-5310-4CA2-8449-C7810EBA492B}"/>
            </a:ext>
          </a:extLst>
        </xdr:cNvPr>
        <xdr:cNvCxnSpPr/>
      </xdr:nvCxnSpPr>
      <xdr:spPr>
        <a:xfrm>
          <a:off x="19507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xdr:row>
      <xdr:rowOff>0</xdr:rowOff>
    </xdr:from>
    <xdr:to>
      <xdr:col>19</xdr:col>
      <xdr:colOff>0</xdr:colOff>
      <xdr:row>57</xdr:row>
      <xdr:rowOff>100853</xdr:rowOff>
    </xdr:to>
    <xdr:cxnSp macro="">
      <xdr:nvCxnSpPr>
        <xdr:cNvPr id="4" name="Straight Connector 3">
          <a:extLst>
            <a:ext uri="{FF2B5EF4-FFF2-40B4-BE49-F238E27FC236}">
              <a16:creationId xmlns:a16="http://schemas.microsoft.com/office/drawing/2014/main" id="{2EF3CCD6-3CD4-4821-9F66-51039DE734E3}"/>
            </a:ext>
          </a:extLst>
        </xdr:cNvPr>
        <xdr:cNvCxnSpPr/>
      </xdr:nvCxnSpPr>
      <xdr:spPr>
        <a:xfrm>
          <a:off x="39319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0</xdr:rowOff>
    </xdr:from>
    <xdr:to>
      <xdr:col>23</xdr:col>
      <xdr:colOff>0</xdr:colOff>
      <xdr:row>57</xdr:row>
      <xdr:rowOff>100853</xdr:rowOff>
    </xdr:to>
    <xdr:cxnSp macro="">
      <xdr:nvCxnSpPr>
        <xdr:cNvPr id="5" name="Straight Connector 4">
          <a:extLst>
            <a:ext uri="{FF2B5EF4-FFF2-40B4-BE49-F238E27FC236}">
              <a16:creationId xmlns:a16="http://schemas.microsoft.com/office/drawing/2014/main" id="{1CCFAD6A-5E7F-4202-BBDC-B646E576CD9E}"/>
            </a:ext>
          </a:extLst>
        </xdr:cNvPr>
        <xdr:cNvCxnSpPr/>
      </xdr:nvCxnSpPr>
      <xdr:spPr>
        <a:xfrm>
          <a:off x="59131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57</xdr:row>
      <xdr:rowOff>100853</xdr:rowOff>
    </xdr:to>
    <xdr:cxnSp macro="">
      <xdr:nvCxnSpPr>
        <xdr:cNvPr id="6" name="Straight Connector 5">
          <a:extLst>
            <a:ext uri="{FF2B5EF4-FFF2-40B4-BE49-F238E27FC236}">
              <a16:creationId xmlns:a16="http://schemas.microsoft.com/office/drawing/2014/main" id="{56E85200-387E-4A7C-97D1-35A0D2488CBE}"/>
            </a:ext>
          </a:extLst>
        </xdr:cNvPr>
        <xdr:cNvCxnSpPr/>
      </xdr:nvCxnSpPr>
      <xdr:spPr>
        <a:xfrm>
          <a:off x="78943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5</xdr:row>
      <xdr:rowOff>0</xdr:rowOff>
    </xdr:from>
    <xdr:to>
      <xdr:col>38</xdr:col>
      <xdr:colOff>0</xdr:colOff>
      <xdr:row>57</xdr:row>
      <xdr:rowOff>100853</xdr:rowOff>
    </xdr:to>
    <xdr:cxnSp macro="">
      <xdr:nvCxnSpPr>
        <xdr:cNvPr id="7" name="Straight Connector 6">
          <a:extLst>
            <a:ext uri="{FF2B5EF4-FFF2-40B4-BE49-F238E27FC236}">
              <a16:creationId xmlns:a16="http://schemas.microsoft.com/office/drawing/2014/main" id="{4AAE0745-7E55-42F5-8A2F-1825D9D6600E}"/>
            </a:ext>
          </a:extLst>
        </xdr:cNvPr>
        <xdr:cNvCxnSpPr/>
      </xdr:nvCxnSpPr>
      <xdr:spPr>
        <a:xfrm>
          <a:off x="11498580" y="685800"/>
          <a:ext cx="0" cy="740843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5</xdr:row>
      <xdr:rowOff>0</xdr:rowOff>
    </xdr:from>
    <xdr:to>
      <xdr:col>30</xdr:col>
      <xdr:colOff>0</xdr:colOff>
      <xdr:row>57</xdr:row>
      <xdr:rowOff>100853</xdr:rowOff>
    </xdr:to>
    <xdr:cxnSp macro="">
      <xdr:nvCxnSpPr>
        <xdr:cNvPr id="9" name="Straight Connector 8">
          <a:extLst>
            <a:ext uri="{FF2B5EF4-FFF2-40B4-BE49-F238E27FC236}">
              <a16:creationId xmlns:a16="http://schemas.microsoft.com/office/drawing/2014/main" id="{9F743B54-8BB2-48D5-AC00-8E59D8F31959}"/>
            </a:ext>
          </a:extLst>
        </xdr:cNvPr>
        <xdr:cNvCxnSpPr/>
      </xdr:nvCxnSpPr>
      <xdr:spPr>
        <a:xfrm>
          <a:off x="10141324" y="728382"/>
          <a:ext cx="0" cy="6622677"/>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sters/Industry%20dynamics%20(All)/3%20-%20Mobile%20media/backups/mobile%20backup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chnology/SFPG/John%20Loof/pandora/roadshow/1.10.09/Management%20presentation%20v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mc/LINKY.xls"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catrockcap.sharepoint.com/sites/allstaff/Shared%20Documents/Portfolio/Internet%20-%20FB/Model/FB%20Model%20v63.xlsx" TargetMode="External"/><Relationship Id="rId1" Type="http://schemas.openxmlformats.org/officeDocument/2006/relationships/externalLinkPath" Target="FB%20Model%20v6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bile data apps"/>
      <sheetName val="Converged devices"/>
      <sheetName val="Mobile search &amp; ads"/>
      <sheetName val="Mobile messaging"/>
      <sheetName val="Mobile Music"/>
      <sheetName val="Mobile gaming"/>
      <sheetName val="Mobile TV &amp; Video"/>
      <sheetName val="Mobile LBS"/>
      <sheetName val="Mobile SNS"/>
      <sheetName val="Mobile enterprise"/>
      <sheetName val="Voice 2 text"/>
      <sheetName val="Mobile payments"/>
      <sheetName val="iPhone &amp; Android"/>
      <sheetName val="Device mfr share"/>
      <sheetName val="Operator share"/>
      <sheetName val="16"/>
      <sheetName val="17"/>
      <sheetName val="18"/>
      <sheetName val="19"/>
      <sheetName val="20"/>
      <sheetName val="Shareholdings Input"/>
      <sheetName val="Checks"/>
      <sheetName val="Inputs"/>
      <sheetName val="Balance Sheet Inputs"/>
      <sheetName val="Income Statement Summary"/>
      <sheetName val="Options Input"/>
      <sheetName val="Interloper"/>
      <sheetName val="Stock Prices Input"/>
    </sheetNames>
    <sheetDataSet>
      <sheetData sheetId="0">
        <row r="1">
          <cell r="A1" t="str">
            <v>Frost &amp; Sullivan</v>
          </cell>
        </row>
        <row r="2">
          <cell r="A2" t="str">
            <v>World Smart &amp; Feature Phone Markets</v>
          </cell>
        </row>
        <row r="3">
          <cell r="A3" t="str">
            <v>8/1/2008, Pg. 54</v>
          </cell>
        </row>
        <row r="5">
          <cell r="B5">
            <v>2007</v>
          </cell>
          <cell r="C5">
            <v>2008</v>
          </cell>
          <cell r="D5">
            <v>2009</v>
          </cell>
          <cell r="E5">
            <v>2010</v>
          </cell>
          <cell r="F5">
            <v>2011</v>
          </cell>
          <cell r="G5">
            <v>2012</v>
          </cell>
        </row>
        <row r="6">
          <cell r="A6" t="str">
            <v>Mobile subscribers</v>
          </cell>
          <cell r="B6">
            <v>3</v>
          </cell>
          <cell r="C6">
            <v>3.5</v>
          </cell>
          <cell r="D6">
            <v>4</v>
          </cell>
          <cell r="E6">
            <v>4.4000000000000004</v>
          </cell>
          <cell r="F6">
            <v>4.7</v>
          </cell>
          <cell r="G6">
            <v>5</v>
          </cell>
          <cell r="H6">
            <v>0.10756634324829006</v>
          </cell>
        </row>
        <row r="7">
          <cell r="A7" t="str">
            <v>Mobile penetration</v>
          </cell>
          <cell r="B7">
            <v>0.45112781954887216</v>
          </cell>
          <cell r="C7">
            <v>0.52083333333333337</v>
          </cell>
          <cell r="D7">
            <v>0.5891016200294551</v>
          </cell>
          <cell r="E7">
            <v>0.64046579330422126</v>
          </cell>
          <cell r="F7">
            <v>0.67625899280575541</v>
          </cell>
          <cell r="G7">
            <v>0.71123755334281646</v>
          </cell>
        </row>
        <row r="9">
          <cell r="A9" t="str">
            <v>World population</v>
          </cell>
          <cell r="B9">
            <v>6.65</v>
          </cell>
          <cell r="C9">
            <v>6.72</v>
          </cell>
          <cell r="D9">
            <v>6.79</v>
          </cell>
          <cell r="E9">
            <v>6.87</v>
          </cell>
          <cell r="F9">
            <v>6.95</v>
          </cell>
          <cell r="G9">
            <v>7.03</v>
          </cell>
        </row>
        <row r="25">
          <cell r="A25" t="str">
            <v>IDC, U.S. Consumer Mobile Subscriber, Revenue, and ARPU 2008–2012 Forecast: Mobile Services in Transition</v>
          </cell>
        </row>
        <row r="26">
          <cell r="A26" t="str">
            <v>March 2008</v>
          </cell>
        </row>
        <row r="27">
          <cell r="A27" t="str">
            <v>Forecast tab, Table 2</v>
          </cell>
        </row>
        <row r="29">
          <cell r="B29">
            <v>2007</v>
          </cell>
          <cell r="C29">
            <v>2008</v>
          </cell>
          <cell r="D29">
            <v>2009</v>
          </cell>
          <cell r="E29">
            <v>2010</v>
          </cell>
          <cell r="F29">
            <v>2011</v>
          </cell>
          <cell r="G29">
            <v>2012</v>
          </cell>
        </row>
        <row r="30">
          <cell r="A30" t="str">
            <v>Mobile subscribers</v>
          </cell>
          <cell r="B30">
            <v>256.2</v>
          </cell>
          <cell r="C30">
            <v>274</v>
          </cell>
          <cell r="D30">
            <v>288.89999999999998</v>
          </cell>
          <cell r="E30">
            <v>302.10000000000002</v>
          </cell>
          <cell r="F30">
            <v>312.2</v>
          </cell>
          <cell r="G30">
            <v>321.7</v>
          </cell>
          <cell r="H30">
            <v>4.6584713472560102E-2</v>
          </cell>
        </row>
        <row r="31">
          <cell r="A31" t="str">
            <v>Mobile penetration</v>
          </cell>
          <cell r="B31">
            <v>0.84304047384007896</v>
          </cell>
          <cell r="C31">
            <v>0.89279895731508641</v>
          </cell>
          <cell r="D31">
            <v>0.93223620522749273</v>
          </cell>
          <cell r="E31">
            <v>0.96517571884984033</v>
          </cell>
          <cell r="F31">
            <v>0.98766213223663391</v>
          </cell>
          <cell r="G31">
            <v>1.0078320802005012</v>
          </cell>
        </row>
        <row r="33">
          <cell r="A33" t="str">
            <v>World population</v>
          </cell>
          <cell r="B33">
            <v>303.89999999999998</v>
          </cell>
          <cell r="C33">
            <v>306.89999999999998</v>
          </cell>
          <cell r="D33">
            <v>309.89999999999998</v>
          </cell>
          <cell r="E33">
            <v>313</v>
          </cell>
          <cell r="F33">
            <v>316.10000000000002</v>
          </cell>
          <cell r="G33">
            <v>319.2</v>
          </cell>
        </row>
        <row r="48">
          <cell r="A48" t="str">
            <v>Gartner</v>
          </cell>
        </row>
        <row r="49">
          <cell r="A49" t="str">
            <v>Forecast: Mobile Services, Worldwide, 2003-2012</v>
          </cell>
        </row>
        <row r="50">
          <cell r="A50" t="str">
            <v>July 2008, Table 1-13</v>
          </cell>
        </row>
        <row r="52">
          <cell r="A52" t="str">
            <v>ARPU</v>
          </cell>
        </row>
        <row r="53">
          <cell r="B53">
            <v>2007</v>
          </cell>
          <cell r="C53">
            <v>2008</v>
          </cell>
          <cell r="D53">
            <v>2009</v>
          </cell>
          <cell r="E53">
            <v>2010</v>
          </cell>
          <cell r="F53">
            <v>2011</v>
          </cell>
          <cell r="G53">
            <v>2012</v>
          </cell>
          <cell r="H53" t="str">
            <v>CAGR</v>
          </cell>
        </row>
        <row r="54">
          <cell r="A54" t="str">
            <v>Voice</v>
          </cell>
          <cell r="B54">
            <v>17.615898069617696</v>
          </cell>
          <cell r="C54">
            <v>15.921146111966745</v>
          </cell>
          <cell r="D54">
            <v>14.446581496454426</v>
          </cell>
          <cell r="E54">
            <v>13.400321545174164</v>
          </cell>
          <cell r="F54">
            <v>12.602384405934075</v>
          </cell>
          <cell r="G54">
            <v>11.914341240947955</v>
          </cell>
          <cell r="H54">
            <v>-7.523145516740648E-2</v>
          </cell>
        </row>
        <row r="55">
          <cell r="A55" t="str">
            <v>Data</v>
          </cell>
          <cell r="B55">
            <v>3.8507685970489707</v>
          </cell>
          <cell r="C55">
            <v>4.1955205546999217</v>
          </cell>
          <cell r="D55">
            <v>4.4700851702122426</v>
          </cell>
          <cell r="E55">
            <v>4.7496784548258351</v>
          </cell>
          <cell r="F55">
            <v>5.0809489273992599</v>
          </cell>
          <cell r="G55">
            <v>5.4273254257187107</v>
          </cell>
          <cell r="H55">
            <v>7.1044926432900279E-2</v>
          </cell>
        </row>
        <row r="56">
          <cell r="B56">
            <v>21.466666666666669</v>
          </cell>
          <cell r="C56">
            <v>20.116666666666667</v>
          </cell>
          <cell r="D56">
            <v>18.916666666666668</v>
          </cell>
          <cell r="E56">
            <v>18.149999999999999</v>
          </cell>
          <cell r="F56">
            <v>17.683333333333334</v>
          </cell>
          <cell r="G56">
            <v>17.341666666666665</v>
          </cell>
          <cell r="H56">
            <v>-4.1779971142622441E-2</v>
          </cell>
        </row>
        <row r="57">
          <cell r="A57" t="str">
            <v>Voice Revenue ($M)</v>
          </cell>
          <cell r="B57">
            <v>632280.36499999999</v>
          </cell>
          <cell r="C57">
            <v>686849.25300000003</v>
          </cell>
          <cell r="D57">
            <v>719652.37300000002</v>
          </cell>
          <cell r="E57">
            <v>745481.98</v>
          </cell>
          <cell r="F57">
            <v>763995.33</v>
          </cell>
          <cell r="G57">
            <v>773214.42299999995</v>
          </cell>
        </row>
        <row r="58">
          <cell r="A58" t="str">
            <v>Data Revenue ($M)</v>
          </cell>
          <cell r="B58">
            <v>138214.09299999999</v>
          </cell>
          <cell r="C58">
            <v>180997.658</v>
          </cell>
          <cell r="D58">
            <v>222676.02900000001</v>
          </cell>
          <cell r="E58">
            <v>264232.44300000003</v>
          </cell>
          <cell r="F58">
            <v>308022.76199999999</v>
          </cell>
          <cell r="G58">
            <v>352221.429</v>
          </cell>
        </row>
        <row r="59">
          <cell r="A59" t="str">
            <v>Voice %</v>
          </cell>
          <cell r="B59">
            <v>0.8206163697026877</v>
          </cell>
          <cell r="C59">
            <v>0.79144056894615133</v>
          </cell>
          <cell r="D59">
            <v>0.76369593813855996</v>
          </cell>
          <cell r="E59">
            <v>0.73830972700684105</v>
          </cell>
          <cell r="F59">
            <v>0.71267018318194575</v>
          </cell>
          <cell r="G59">
            <v>0.68703553527811378</v>
          </cell>
        </row>
        <row r="60">
          <cell r="A60" t="str">
            <v>Data %</v>
          </cell>
          <cell r="B60">
            <v>0.17938363029731227</v>
          </cell>
          <cell r="C60">
            <v>0.20855943105384861</v>
          </cell>
          <cell r="D60">
            <v>0.23630406186144012</v>
          </cell>
          <cell r="E60">
            <v>0.261690272993159</v>
          </cell>
          <cell r="F60">
            <v>0.28732981681805425</v>
          </cell>
          <cell r="G60">
            <v>0.31296446472188627</v>
          </cell>
        </row>
        <row r="77">
          <cell r="J77" t="str">
            <v>2007-12E CAGRs</v>
          </cell>
        </row>
        <row r="78">
          <cell r="J78" t="str">
            <v>Voice</v>
          </cell>
          <cell r="K78">
            <v>-7.523145516740648E-2</v>
          </cell>
        </row>
        <row r="79">
          <cell r="J79" t="str">
            <v>Data</v>
          </cell>
          <cell r="K79">
            <v>7.1044926432900279E-2</v>
          </cell>
        </row>
        <row r="80">
          <cell r="J80" t="str">
            <v>Total</v>
          </cell>
          <cell r="K80">
            <v>-4.1779971142622441E-2</v>
          </cell>
        </row>
        <row r="84">
          <cell r="A84" t="str">
            <v>Informa</v>
          </cell>
        </row>
        <row r="85">
          <cell r="A85" t="str">
            <v>MAPOS, 4th Edition</v>
          </cell>
        </row>
        <row r="86">
          <cell r="A86" t="str">
            <v>2008, Table 5.2 (Total)</v>
          </cell>
        </row>
        <row r="88">
          <cell r="A88" t="str">
            <v>Handset sales</v>
          </cell>
        </row>
        <row r="89">
          <cell r="B89">
            <v>2007</v>
          </cell>
          <cell r="C89">
            <v>2008</v>
          </cell>
          <cell r="D89">
            <v>2009</v>
          </cell>
          <cell r="E89">
            <v>2010</v>
          </cell>
          <cell r="F89">
            <v>2011</v>
          </cell>
          <cell r="G89">
            <v>2012</v>
          </cell>
          <cell r="H89" t="str">
            <v>CAGR</v>
          </cell>
        </row>
        <row r="90">
          <cell r="A90" t="str">
            <v>BREW</v>
          </cell>
          <cell r="B90">
            <v>99.8</v>
          </cell>
          <cell r="C90">
            <v>126.1</v>
          </cell>
          <cell r="D90">
            <v>150.1</v>
          </cell>
          <cell r="E90">
            <v>168.9</v>
          </cell>
          <cell r="F90">
            <v>186.4</v>
          </cell>
          <cell r="G90">
            <v>208</v>
          </cell>
          <cell r="H90">
            <v>0.15820799562334176</v>
          </cell>
        </row>
        <row r="91">
          <cell r="A91" t="str">
            <v>Java</v>
          </cell>
          <cell r="B91">
            <v>556.9</v>
          </cell>
          <cell r="C91">
            <v>739.8</v>
          </cell>
          <cell r="D91">
            <v>906.8</v>
          </cell>
          <cell r="E91">
            <v>1040.9000000000001</v>
          </cell>
          <cell r="F91">
            <v>1126.3</v>
          </cell>
          <cell r="G91">
            <v>1174.7</v>
          </cell>
          <cell r="H91">
            <v>0.16099393278204754</v>
          </cell>
        </row>
        <row r="92">
          <cell r="A92" t="str">
            <v>Other</v>
          </cell>
          <cell r="B92">
            <v>448.80000000000007</v>
          </cell>
          <cell r="C92">
            <v>339.6</v>
          </cell>
          <cell r="D92">
            <v>235.00000000000023</v>
          </cell>
          <cell r="E92">
            <v>146.29999999999973</v>
          </cell>
          <cell r="F92">
            <v>98.399999999999864</v>
          </cell>
          <cell r="G92">
            <v>69.599999999999909</v>
          </cell>
          <cell r="H92">
            <v>-0.31117122925979768</v>
          </cell>
        </row>
        <row r="93">
          <cell r="B93">
            <v>1105.5</v>
          </cell>
          <cell r="C93">
            <v>1205.5</v>
          </cell>
          <cell r="D93">
            <v>1291.9000000000001</v>
          </cell>
          <cell r="E93">
            <v>1356.1</v>
          </cell>
          <cell r="F93">
            <v>1411.1</v>
          </cell>
          <cell r="G93">
            <v>1452.3</v>
          </cell>
          <cell r="H93">
            <v>5.6086565746741535E-2</v>
          </cell>
        </row>
        <row r="95">
          <cell r="J95" t="str">
            <v>2007-12E CAGRs</v>
          </cell>
        </row>
        <row r="96">
          <cell r="J96" t="str">
            <v>BREW</v>
          </cell>
          <cell r="K96">
            <v>0.15820799562334176</v>
          </cell>
        </row>
        <row r="97">
          <cell r="J97" t="str">
            <v>Java</v>
          </cell>
          <cell r="K97">
            <v>0.16099393278204754</v>
          </cell>
        </row>
        <row r="98">
          <cell r="J98" t="str">
            <v>Other</v>
          </cell>
          <cell r="K98">
            <v>-0.31117122925979768</v>
          </cell>
        </row>
        <row r="99">
          <cell r="J99" t="str">
            <v>Total</v>
          </cell>
          <cell r="K99">
            <v>5.6086565746741535E-2</v>
          </cell>
        </row>
      </sheetData>
      <sheetData sheetId="1">
        <row r="1">
          <cell r="A1" t="str">
            <v>Gartner</v>
          </cell>
        </row>
        <row r="2">
          <cell r="A2" t="str">
            <v>Forecast: Mobile Devices Sales to End Users by Device Category, 2003-2012</v>
          </cell>
        </row>
        <row r="3">
          <cell r="A3" t="str">
            <v>Table 2-1</v>
          </cell>
        </row>
        <row r="4">
          <cell r="A4" t="str">
            <v>mm of units</v>
          </cell>
        </row>
        <row r="5">
          <cell r="B5">
            <v>2007</v>
          </cell>
          <cell r="C5">
            <v>2008</v>
          </cell>
          <cell r="D5">
            <v>2009</v>
          </cell>
          <cell r="E5">
            <v>2010</v>
          </cell>
          <cell r="F5">
            <v>2011</v>
          </cell>
          <cell r="G5">
            <v>2012</v>
          </cell>
        </row>
        <row r="6">
          <cell r="A6" t="str">
            <v>Basic</v>
          </cell>
          <cell r="B6">
            <v>0.31645020000000001</v>
          </cell>
          <cell r="C6">
            <v>0.37279980000000001</v>
          </cell>
          <cell r="D6">
            <v>0.40461449999999999</v>
          </cell>
          <cell r="E6">
            <v>0.4247706</v>
          </cell>
          <cell r="F6">
            <v>0.42113290000000003</v>
          </cell>
          <cell r="G6">
            <v>0.41202699999999998</v>
          </cell>
          <cell r="H6">
            <v>5.4202545001164504E-2</v>
          </cell>
        </row>
        <row r="7">
          <cell r="A7" t="str">
            <v>Enhanced</v>
          </cell>
          <cell r="B7">
            <v>0.71407030000000005</v>
          </cell>
          <cell r="C7">
            <v>0.71630190000000005</v>
          </cell>
          <cell r="D7">
            <v>0.71434310000000001</v>
          </cell>
          <cell r="E7">
            <v>0.70460690000000004</v>
          </cell>
          <cell r="F7">
            <v>0.68117950000000005</v>
          </cell>
          <cell r="G7">
            <v>0.65348190000000006</v>
          </cell>
          <cell r="H7">
            <v>-1.7577006318137745E-2</v>
          </cell>
        </row>
        <row r="8">
          <cell r="A8" t="str">
            <v>Smartphones</v>
          </cell>
          <cell r="B8">
            <v>0.12244139999999981</v>
          </cell>
          <cell r="C8">
            <v>0.18657410000000008</v>
          </cell>
          <cell r="D8">
            <v>0.28825710000000004</v>
          </cell>
          <cell r="E8">
            <v>0.41027790000000008</v>
          </cell>
          <cell r="F8">
            <v>0.56280189999999974</v>
          </cell>
          <cell r="G8">
            <v>0.73365340000000012</v>
          </cell>
          <cell r="H8">
            <v>0.43058125307141393</v>
          </cell>
        </row>
        <row r="9">
          <cell r="B9">
            <v>1.1529619</v>
          </cell>
          <cell r="C9">
            <v>1.2756758000000001</v>
          </cell>
          <cell r="D9">
            <v>1.4072146999999999</v>
          </cell>
          <cell r="E9">
            <v>1.5396554</v>
          </cell>
          <cell r="F9">
            <v>1.6651142999999999</v>
          </cell>
          <cell r="G9">
            <v>1.7991623000000001</v>
          </cell>
          <cell r="H9">
            <v>9.3077808019314645E-2</v>
          </cell>
        </row>
        <row r="11">
          <cell r="J11" t="str">
            <v>2007-12E CAGRs</v>
          </cell>
        </row>
        <row r="12">
          <cell r="J12" t="str">
            <v>Basic</v>
          </cell>
          <cell r="K12">
            <v>5.4202545001164504E-2</v>
          </cell>
        </row>
        <row r="13">
          <cell r="J13" t="str">
            <v>Enhanced</v>
          </cell>
          <cell r="K13">
            <v>-1.7577006318137745E-2</v>
          </cell>
        </row>
        <row r="14">
          <cell r="J14" t="str">
            <v>Smartphones</v>
          </cell>
          <cell r="K14">
            <v>0.43058125307141393</v>
          </cell>
        </row>
        <row r="15">
          <cell r="J15" t="str">
            <v>Total</v>
          </cell>
          <cell r="K15">
            <v>9.3077808019314645E-2</v>
          </cell>
        </row>
        <row r="32">
          <cell r="A32" t="str">
            <v>Informa</v>
          </cell>
        </row>
        <row r="33">
          <cell r="A33" t="str">
            <v>MAPOS, 4th Edition</v>
          </cell>
        </row>
        <row r="34">
          <cell r="A34" t="str">
            <v>2008, Table 5.2 (Total)</v>
          </cell>
        </row>
        <row r="35">
          <cell r="A35" t="str">
            <v>bn of units</v>
          </cell>
        </row>
        <row r="36">
          <cell r="B36">
            <v>2007</v>
          </cell>
          <cell r="C36">
            <v>2008</v>
          </cell>
          <cell r="D36">
            <v>2009</v>
          </cell>
          <cell r="E36">
            <v>2010</v>
          </cell>
          <cell r="F36">
            <v>2011</v>
          </cell>
          <cell r="G36">
            <v>2012</v>
          </cell>
          <cell r="H36">
            <v>4.9776032623549682E-4</v>
          </cell>
        </row>
        <row r="37">
          <cell r="A37" t="str">
            <v>2G</v>
          </cell>
          <cell r="B37">
            <v>0.13419999999999999</v>
          </cell>
          <cell r="C37">
            <v>7.9000000000000001E-2</v>
          </cell>
          <cell r="D37">
            <v>4.7299999999999995E-2</v>
          </cell>
          <cell r="E37">
            <v>3.0699999999999998E-2</v>
          </cell>
          <cell r="F37">
            <v>1.1900000000000001E-2</v>
          </cell>
          <cell r="G37">
            <v>6.7999999999999996E-3</v>
          </cell>
          <cell r="H37">
            <v>-0.44925409160096075</v>
          </cell>
        </row>
        <row r="38">
          <cell r="A38" t="str">
            <v>2.5G</v>
          </cell>
          <cell r="B38">
            <v>0.7288</v>
          </cell>
          <cell r="C38">
            <v>0.73580000000000001</v>
          </cell>
          <cell r="D38">
            <v>0.69170000000000009</v>
          </cell>
          <cell r="E38">
            <v>0.62909999999999999</v>
          </cell>
          <cell r="F38">
            <v>0.54849999999999999</v>
          </cell>
          <cell r="G38">
            <v>0.41760000000000003</v>
          </cell>
          <cell r="H38">
            <v>-0.10539684553828843</v>
          </cell>
        </row>
        <row r="39">
          <cell r="A39" t="str">
            <v>3G</v>
          </cell>
          <cell r="B39">
            <v>0.22259999999999999</v>
          </cell>
          <cell r="C39">
            <v>0.34499999999999997</v>
          </cell>
          <cell r="D39">
            <v>0.45380000000000004</v>
          </cell>
          <cell r="E39">
            <v>0.49539999999999995</v>
          </cell>
          <cell r="F39">
            <v>0.50280000000000002</v>
          </cell>
          <cell r="G39">
            <v>0.50819999999999999</v>
          </cell>
          <cell r="H39">
            <v>0.17951074121676669</v>
          </cell>
        </row>
        <row r="40">
          <cell r="A40" t="str">
            <v>3.5G+</v>
          </cell>
          <cell r="B40">
            <v>0.02</v>
          </cell>
          <cell r="C40">
            <v>4.58E-2</v>
          </cell>
          <cell r="D40">
            <v>9.9199999999999997E-2</v>
          </cell>
          <cell r="E40">
            <v>0.20100000000000001</v>
          </cell>
          <cell r="F40">
            <v>0.34789999999999999</v>
          </cell>
          <cell r="G40">
            <v>0.51970000000000005</v>
          </cell>
          <cell r="H40">
            <v>0.91842375838193391</v>
          </cell>
        </row>
        <row r="41">
          <cell r="B41">
            <v>1.1054999999999999</v>
          </cell>
          <cell r="C41">
            <v>1.2055</v>
          </cell>
          <cell r="D41">
            <v>1.2919</v>
          </cell>
          <cell r="E41">
            <v>1.3560999999999999</v>
          </cell>
          <cell r="F41">
            <v>1.4110999999999998</v>
          </cell>
          <cell r="G41">
            <v>1.4522999999999999</v>
          </cell>
          <cell r="H41">
            <v>5.6086565746741535E-2</v>
          </cell>
        </row>
        <row r="43">
          <cell r="J43" t="str">
            <v>2007-12E CAGRs</v>
          </cell>
        </row>
        <row r="44">
          <cell r="J44" t="str">
            <v>2G</v>
          </cell>
          <cell r="K44">
            <v>-0.44925409160096075</v>
          </cell>
        </row>
        <row r="45">
          <cell r="J45" t="str">
            <v>2.5G</v>
          </cell>
          <cell r="K45">
            <v>-0.10539684553828843</v>
          </cell>
        </row>
        <row r="46">
          <cell r="J46" t="str">
            <v>3G</v>
          </cell>
          <cell r="K46">
            <v>0.17951074121676669</v>
          </cell>
        </row>
        <row r="47">
          <cell r="J47" t="str">
            <v>3.5G+</v>
          </cell>
          <cell r="K47">
            <v>0.91842375838193391</v>
          </cell>
        </row>
        <row r="48">
          <cell r="J48" t="str">
            <v>Total</v>
          </cell>
          <cell r="K48">
            <v>5.6086565746741535E-2</v>
          </cell>
        </row>
        <row r="66">
          <cell r="A66" t="str">
            <v>Informa</v>
          </cell>
        </row>
        <row r="67">
          <cell r="A67" t="str">
            <v>MAPOS, 4th Edition</v>
          </cell>
        </row>
        <row r="68">
          <cell r="A68" t="str">
            <v>2008, Table 6.5</v>
          </cell>
        </row>
        <row r="69">
          <cell r="A69" t="str">
            <v>$US MMM</v>
          </cell>
        </row>
        <row r="70">
          <cell r="B70">
            <v>2007</v>
          </cell>
          <cell r="C70">
            <v>2008</v>
          </cell>
          <cell r="D70">
            <v>2009</v>
          </cell>
          <cell r="E70">
            <v>2010</v>
          </cell>
          <cell r="F70">
            <v>2011</v>
          </cell>
          <cell r="G70">
            <v>2012</v>
          </cell>
        </row>
        <row r="71">
          <cell r="A71" t="str">
            <v>P2P msg</v>
          </cell>
          <cell r="B71">
            <v>79501.2</v>
          </cell>
          <cell r="C71">
            <v>85621.3</v>
          </cell>
          <cell r="D71">
            <v>89515.1</v>
          </cell>
          <cell r="E71">
            <v>92350.3</v>
          </cell>
          <cell r="F71">
            <v>94785.600000000006</v>
          </cell>
          <cell r="G71">
            <v>94926.7</v>
          </cell>
        </row>
        <row r="72">
          <cell r="A72" t="str">
            <v>Entertainment</v>
          </cell>
          <cell r="B72">
            <v>17723.399999999998</v>
          </cell>
          <cell r="C72">
            <v>21143.100000000002</v>
          </cell>
          <cell r="D72">
            <v>24796.399999999998</v>
          </cell>
          <cell r="E72">
            <v>28423.000000000004</v>
          </cell>
          <cell r="F72">
            <v>31456.1</v>
          </cell>
          <cell r="G72">
            <v>34781.1</v>
          </cell>
        </row>
        <row r="73">
          <cell r="A73" t="str">
            <v>Games</v>
          </cell>
          <cell r="B73">
            <v>3229.3</v>
          </cell>
          <cell r="C73">
            <v>3985.9</v>
          </cell>
          <cell r="D73">
            <v>4794.5</v>
          </cell>
          <cell r="E73">
            <v>5599.6</v>
          </cell>
          <cell r="F73">
            <v>6398.2</v>
          </cell>
          <cell r="G73">
            <v>7205.3</v>
          </cell>
        </row>
        <row r="74">
          <cell r="A74" t="str">
            <v>Music</v>
          </cell>
          <cell r="B74">
            <v>9775.2000000000007</v>
          </cell>
          <cell r="C74">
            <v>11190.1</v>
          </cell>
          <cell r="D74">
            <v>12569</v>
          </cell>
          <cell r="E74">
            <v>13767.2</v>
          </cell>
          <cell r="F74">
            <v>14733</v>
          </cell>
          <cell r="G74">
            <v>15472.8</v>
          </cell>
        </row>
        <row r="75">
          <cell r="A75" t="str">
            <v>Video &amp; TV</v>
          </cell>
          <cell r="B75">
            <v>1861.9</v>
          </cell>
          <cell r="C75">
            <v>2882.3</v>
          </cell>
          <cell r="D75">
            <v>4174.1000000000004</v>
          </cell>
          <cell r="E75">
            <v>5666.2</v>
          </cell>
          <cell r="F75">
            <v>6830.8</v>
          </cell>
          <cell r="G75">
            <v>8513</v>
          </cell>
        </row>
        <row r="76">
          <cell r="A76" t="str">
            <v>Images</v>
          </cell>
          <cell r="B76">
            <v>2399.9</v>
          </cell>
          <cell r="C76">
            <v>2539.4</v>
          </cell>
          <cell r="D76">
            <v>2614.6999999999998</v>
          </cell>
          <cell r="E76">
            <v>2630.1</v>
          </cell>
          <cell r="F76">
            <v>2606.8000000000002</v>
          </cell>
          <cell r="G76">
            <v>2557.9</v>
          </cell>
        </row>
        <row r="77">
          <cell r="A77" t="str">
            <v>Gambling</v>
          </cell>
          <cell r="B77">
            <v>457.1</v>
          </cell>
          <cell r="C77">
            <v>545.4</v>
          </cell>
          <cell r="D77">
            <v>644.1</v>
          </cell>
          <cell r="E77">
            <v>759.9</v>
          </cell>
          <cell r="F77">
            <v>887.3</v>
          </cell>
          <cell r="G77">
            <v>1032.0999999999999</v>
          </cell>
        </row>
        <row r="78">
          <cell r="A78" t="str">
            <v>Enterprise</v>
          </cell>
          <cell r="B78">
            <v>3535.8</v>
          </cell>
          <cell r="C78">
            <v>4982.1000000000004</v>
          </cell>
          <cell r="D78">
            <v>6339.7</v>
          </cell>
          <cell r="E78">
            <v>7221.4</v>
          </cell>
          <cell r="F78">
            <v>7800</v>
          </cell>
          <cell r="G78">
            <v>8230</v>
          </cell>
        </row>
        <row r="79">
          <cell r="A79" t="str">
            <v>Browsing</v>
          </cell>
          <cell r="B79">
            <v>14469.6</v>
          </cell>
          <cell r="C79">
            <v>21596.400000000001</v>
          </cell>
          <cell r="D79">
            <v>29841.3</v>
          </cell>
          <cell r="E79">
            <v>38043.699999999997</v>
          </cell>
          <cell r="F79">
            <v>46403.6</v>
          </cell>
          <cell r="G79">
            <v>55613.5</v>
          </cell>
        </row>
        <row r="80">
          <cell r="A80" t="str">
            <v>Infotainment</v>
          </cell>
          <cell r="B80">
            <v>19488</v>
          </cell>
          <cell r="C80">
            <v>24551.9</v>
          </cell>
          <cell r="D80">
            <v>29228.7</v>
          </cell>
          <cell r="E80">
            <v>33957.800000000003</v>
          </cell>
          <cell r="F80">
            <v>38449.599999999999</v>
          </cell>
          <cell r="G80">
            <v>42854.1</v>
          </cell>
        </row>
        <row r="81">
          <cell r="A81" t="str">
            <v>m-commerce</v>
          </cell>
          <cell r="B81">
            <v>697.8</v>
          </cell>
          <cell r="C81">
            <v>1138.8</v>
          </cell>
          <cell r="D81">
            <v>1697.2</v>
          </cell>
          <cell r="E81">
            <v>2244.6</v>
          </cell>
          <cell r="F81">
            <v>2736</v>
          </cell>
          <cell r="G81">
            <v>3230</v>
          </cell>
        </row>
        <row r="82">
          <cell r="A82" t="str">
            <v>Total</v>
          </cell>
          <cell r="B82">
            <v>135415.79999999999</v>
          </cell>
          <cell r="C82">
            <v>159033.60000000001</v>
          </cell>
          <cell r="D82">
            <v>181418.40000000002</v>
          </cell>
          <cell r="E82">
            <v>202240.80000000002</v>
          </cell>
          <cell r="F82">
            <v>221630.90000000002</v>
          </cell>
          <cell r="G82">
            <v>239635.4</v>
          </cell>
        </row>
        <row r="85">
          <cell r="A85" t="str">
            <v>Worldwide mobile data market by application</v>
          </cell>
        </row>
        <row r="86">
          <cell r="A86" t="str">
            <v>$bn</v>
          </cell>
        </row>
        <row r="87">
          <cell r="B87">
            <v>2007</v>
          </cell>
          <cell r="C87">
            <v>2008</v>
          </cell>
          <cell r="D87">
            <v>2009</v>
          </cell>
          <cell r="E87">
            <v>2010</v>
          </cell>
          <cell r="F87">
            <v>2011</v>
          </cell>
          <cell r="G87">
            <v>2012</v>
          </cell>
        </row>
        <row r="88">
          <cell r="A88" t="str">
            <v>P2P msg</v>
          </cell>
          <cell r="B88">
            <v>79.501199999999997</v>
          </cell>
          <cell r="C88">
            <v>85.621300000000005</v>
          </cell>
          <cell r="D88">
            <v>89.515100000000004</v>
          </cell>
          <cell r="E88">
            <v>92.350300000000004</v>
          </cell>
          <cell r="F88">
            <v>94.785600000000002</v>
          </cell>
          <cell r="G88">
            <v>94.926699999999997</v>
          </cell>
        </row>
        <row r="89">
          <cell r="A89" t="str">
            <v>Entertainment</v>
          </cell>
          <cell r="B89">
            <v>17.723399999999998</v>
          </cell>
          <cell r="C89">
            <v>21.1431</v>
          </cell>
          <cell r="D89">
            <v>24.796399999999998</v>
          </cell>
          <cell r="E89">
            <v>28.423000000000005</v>
          </cell>
          <cell r="F89">
            <v>31.456099999999999</v>
          </cell>
          <cell r="G89">
            <v>34.781099999999995</v>
          </cell>
        </row>
        <row r="90">
          <cell r="A90" t="str">
            <v>Enterprise</v>
          </cell>
          <cell r="B90">
            <v>3.5358000000000001</v>
          </cell>
          <cell r="C90">
            <v>4.9821</v>
          </cell>
          <cell r="D90">
            <v>6.3396999999999997</v>
          </cell>
          <cell r="E90">
            <v>7.2214</v>
          </cell>
          <cell r="F90">
            <v>7.8</v>
          </cell>
          <cell r="G90">
            <v>8.23</v>
          </cell>
        </row>
        <row r="91">
          <cell r="A91" t="str">
            <v>Browsing</v>
          </cell>
          <cell r="B91">
            <v>14.4696</v>
          </cell>
          <cell r="C91">
            <v>21.596400000000003</v>
          </cell>
          <cell r="D91">
            <v>29.8413</v>
          </cell>
          <cell r="E91">
            <v>38.043699999999994</v>
          </cell>
          <cell r="F91">
            <v>46.403599999999997</v>
          </cell>
          <cell r="G91">
            <v>55.613500000000002</v>
          </cell>
        </row>
        <row r="92">
          <cell r="A92" t="str">
            <v>Infotainment</v>
          </cell>
          <cell r="B92">
            <v>19.488</v>
          </cell>
          <cell r="C92">
            <v>24.5519</v>
          </cell>
          <cell r="D92">
            <v>29.2287</v>
          </cell>
          <cell r="E92">
            <v>33.957800000000006</v>
          </cell>
          <cell r="F92">
            <v>38.449599999999997</v>
          </cell>
          <cell r="G92">
            <v>42.854099999999995</v>
          </cell>
        </row>
        <row r="93">
          <cell r="A93" t="str">
            <v>m-commerce</v>
          </cell>
          <cell r="B93">
            <v>0.69779999999999998</v>
          </cell>
          <cell r="C93">
            <v>1.1388</v>
          </cell>
          <cell r="D93">
            <v>1.6972</v>
          </cell>
          <cell r="E93">
            <v>2.2445999999999997</v>
          </cell>
          <cell r="F93">
            <v>2.7360000000000002</v>
          </cell>
          <cell r="G93">
            <v>3.23</v>
          </cell>
        </row>
        <row r="94">
          <cell r="B94">
            <v>135.41579999999999</v>
          </cell>
          <cell r="C94">
            <v>159.03360000000001</v>
          </cell>
          <cell r="D94">
            <v>181.41839999999999</v>
          </cell>
          <cell r="E94">
            <v>202.24079999999998</v>
          </cell>
          <cell r="F94">
            <v>221.63090000000003</v>
          </cell>
          <cell r="G94">
            <v>239.63539999999995</v>
          </cell>
          <cell r="H94">
            <v>0.12092441041708923</v>
          </cell>
        </row>
        <row r="110">
          <cell r="A110" t="str">
            <v>Worldwide wireless entertainment market by type</v>
          </cell>
        </row>
        <row r="111">
          <cell r="A111" t="str">
            <v>$bn</v>
          </cell>
        </row>
        <row r="113">
          <cell r="B113">
            <v>2007</v>
          </cell>
          <cell r="C113">
            <v>2008</v>
          </cell>
          <cell r="D113">
            <v>2009</v>
          </cell>
          <cell r="E113">
            <v>2010</v>
          </cell>
          <cell r="F113">
            <v>2011</v>
          </cell>
          <cell r="G113">
            <v>2012</v>
          </cell>
        </row>
        <row r="114">
          <cell r="A114" t="str">
            <v>Games</v>
          </cell>
          <cell r="B114">
            <v>3.2293000000000003</v>
          </cell>
          <cell r="C114">
            <v>3.9859</v>
          </cell>
          <cell r="D114">
            <v>4.7945000000000002</v>
          </cell>
          <cell r="E114">
            <v>5.5996000000000006</v>
          </cell>
          <cell r="F114">
            <v>6.3982000000000001</v>
          </cell>
          <cell r="G114">
            <v>7.2053000000000003</v>
          </cell>
          <cell r="H114">
            <v>0.17410985956600422</v>
          </cell>
        </row>
        <row r="115">
          <cell r="A115" t="str">
            <v>Music</v>
          </cell>
          <cell r="B115">
            <v>9.7751999999999999</v>
          </cell>
          <cell r="C115">
            <v>11.190100000000001</v>
          </cell>
          <cell r="D115">
            <v>12.569000000000001</v>
          </cell>
          <cell r="E115">
            <v>13.767200000000001</v>
          </cell>
          <cell r="F115">
            <v>14.733000000000001</v>
          </cell>
          <cell r="G115">
            <v>15.472799999999999</v>
          </cell>
          <cell r="H115">
            <v>9.6197108121403474E-2</v>
          </cell>
        </row>
        <row r="116">
          <cell r="A116" t="str">
            <v>Video &amp; TV</v>
          </cell>
          <cell r="B116">
            <v>1.8619000000000001</v>
          </cell>
          <cell r="C116">
            <v>2.8823000000000003</v>
          </cell>
          <cell r="D116">
            <v>4.1741000000000001</v>
          </cell>
          <cell r="E116">
            <v>5.6661999999999999</v>
          </cell>
          <cell r="F116">
            <v>6.8308</v>
          </cell>
          <cell r="G116">
            <v>8.5129999999999999</v>
          </cell>
          <cell r="H116">
            <v>0.35526822535934044</v>
          </cell>
        </row>
        <row r="117">
          <cell r="A117" t="str">
            <v>Images</v>
          </cell>
          <cell r="B117">
            <v>2.3999000000000001</v>
          </cell>
          <cell r="C117">
            <v>2.5394000000000001</v>
          </cell>
          <cell r="D117">
            <v>2.6147</v>
          </cell>
          <cell r="E117">
            <v>2.6301000000000001</v>
          </cell>
          <cell r="F117">
            <v>2.6068000000000002</v>
          </cell>
          <cell r="G117">
            <v>2.5579000000000001</v>
          </cell>
          <cell r="H117">
            <v>1.2833560189002391E-2</v>
          </cell>
        </row>
        <row r="118">
          <cell r="A118" t="str">
            <v>Gambling</v>
          </cell>
          <cell r="B118">
            <v>0.45710000000000001</v>
          </cell>
          <cell r="C118">
            <v>0.5454</v>
          </cell>
          <cell r="D118">
            <v>0.64410000000000001</v>
          </cell>
          <cell r="E118">
            <v>0.75990000000000002</v>
          </cell>
          <cell r="F118">
            <v>0.88729999999999998</v>
          </cell>
          <cell r="G118">
            <v>1.0321</v>
          </cell>
          <cell r="H118">
            <v>0.17690690624053551</v>
          </cell>
        </row>
        <row r="119">
          <cell r="B119">
            <v>17.723400000000002</v>
          </cell>
          <cell r="C119">
            <v>21.143100000000004</v>
          </cell>
          <cell r="D119">
            <v>24.796400000000002</v>
          </cell>
          <cell r="E119">
            <v>28.423000000000002</v>
          </cell>
          <cell r="F119">
            <v>31.456099999999999</v>
          </cell>
          <cell r="G119">
            <v>34.781099999999995</v>
          </cell>
          <cell r="H119">
            <v>0.14435100344119633</v>
          </cell>
        </row>
        <row r="138">
          <cell r="A138" t="str">
            <v>http://www.gartner.com/it/page.jsp?id=754112</v>
          </cell>
        </row>
        <row r="140">
          <cell r="A140" t="str">
            <v>Table 1</v>
          </cell>
        </row>
        <row r="141">
          <cell r="A141" t="str">
            <v>Worldwide: Preliminary Smartphone Sales to End Users byVendor, 2Q08 (Units)</v>
          </cell>
        </row>
        <row r="143">
          <cell r="A143" t="str">
            <v>Company</v>
          </cell>
          <cell r="B143" t="str">
            <v>2Q08</v>
          </cell>
          <cell r="C143" t="str">
            <v>2Q08 Market Share (%)</v>
          </cell>
          <cell r="D143" t="str">
            <v>2Q07</v>
          </cell>
          <cell r="E143" t="str">
            <v>2Q07 Market Share (%)</v>
          </cell>
          <cell r="F143" t="str">
            <v>2Q08- 2Q07 Growth (%)</v>
          </cell>
        </row>
        <row r="145">
          <cell r="B145" t="str">
            <v>Sales</v>
          </cell>
          <cell r="D145" t="str">
            <v>Sales</v>
          </cell>
        </row>
        <row r="146">
          <cell r="A146" t="str">
            <v>Nokia</v>
          </cell>
          <cell r="B146">
            <v>15297900</v>
          </cell>
          <cell r="C146">
            <v>47.5</v>
          </cell>
          <cell r="D146">
            <v>14151689</v>
          </cell>
          <cell r="E146">
            <v>50.8</v>
          </cell>
          <cell r="F146">
            <v>8.1</v>
          </cell>
        </row>
        <row r="147">
          <cell r="A147" t="str">
            <v>RIM</v>
          </cell>
          <cell r="B147">
            <v>5594159</v>
          </cell>
          <cell r="C147">
            <v>17.399999999999999</v>
          </cell>
          <cell r="D147">
            <v>2471200</v>
          </cell>
          <cell r="E147">
            <v>8.9</v>
          </cell>
          <cell r="F147">
            <v>126.4</v>
          </cell>
        </row>
        <row r="148">
          <cell r="A148" t="str">
            <v>HTC</v>
          </cell>
          <cell r="B148">
            <v>1330825</v>
          </cell>
          <cell r="C148">
            <v>4.0999999999999996</v>
          </cell>
          <cell r="D148">
            <v>605900</v>
          </cell>
          <cell r="E148">
            <v>2.2000000000000002</v>
          </cell>
          <cell r="F148">
            <v>119.6</v>
          </cell>
        </row>
        <row r="149">
          <cell r="A149" t="str">
            <v>Sharp</v>
          </cell>
          <cell r="B149">
            <v>1328090</v>
          </cell>
          <cell r="C149">
            <v>4.0999999999999996</v>
          </cell>
          <cell r="D149">
            <v>2275401</v>
          </cell>
          <cell r="E149">
            <v>8.1999999999999993</v>
          </cell>
          <cell r="F149">
            <v>-41.6</v>
          </cell>
        </row>
        <row r="150">
          <cell r="A150" t="str">
            <v>Fujitsu</v>
          </cell>
          <cell r="B150">
            <v>1071490</v>
          </cell>
          <cell r="C150">
            <v>3.3</v>
          </cell>
          <cell r="D150">
            <v>877955</v>
          </cell>
          <cell r="E150">
            <v>3.2</v>
          </cell>
          <cell r="F150">
            <v>22</v>
          </cell>
        </row>
        <row r="151">
          <cell r="A151" t="str">
            <v>Others</v>
          </cell>
          <cell r="B151">
            <v>7598711</v>
          </cell>
          <cell r="C151">
            <v>23.6</v>
          </cell>
          <cell r="D151">
            <v>7472441</v>
          </cell>
          <cell r="E151">
            <v>26.8</v>
          </cell>
          <cell r="F151">
            <v>1.7</v>
          </cell>
        </row>
        <row r="152">
          <cell r="A152" t="str">
            <v>Total</v>
          </cell>
          <cell r="B152">
            <v>32221175</v>
          </cell>
          <cell r="C152">
            <v>100</v>
          </cell>
          <cell r="D152">
            <v>27854586</v>
          </cell>
          <cell r="E152">
            <v>100</v>
          </cell>
          <cell r="F152">
            <v>15.7</v>
          </cell>
        </row>
        <row r="164">
          <cell r="A164" t="str">
            <v>http://www.gartner.com/it/page.jsp?id=827912</v>
          </cell>
        </row>
        <row r="165">
          <cell r="A165" t="str">
            <v>Table 1</v>
          </cell>
        </row>
        <row r="166">
          <cell r="A166" t="str">
            <v>Worldwide: Preliminary Smartphone Sales to End Users byVendor, 3Q08 (Thousands of Units)</v>
          </cell>
        </row>
        <row r="168">
          <cell r="A168" t="str">
            <v>Company</v>
          </cell>
          <cell r="B168" t="str">
            <v>3Q08</v>
          </cell>
          <cell r="C168" t="str">
            <v>3Q08 Market Share (%)</v>
          </cell>
          <cell r="D168" t="str">
            <v>3Q07</v>
          </cell>
          <cell r="E168" t="str">
            <v>3Q07 Market Share (%)</v>
          </cell>
          <cell r="F168" t="str">
            <v>3Q08- 3Q07 Growth (%)</v>
          </cell>
        </row>
        <row r="170">
          <cell r="B170" t="str">
            <v>Sales</v>
          </cell>
          <cell r="D170" t="str">
            <v>Sales</v>
          </cell>
        </row>
        <row r="171">
          <cell r="A171" t="str">
            <v>Nokia</v>
          </cell>
          <cell r="B171">
            <v>15472</v>
          </cell>
          <cell r="C171">
            <v>42.4</v>
          </cell>
          <cell r="D171">
            <v>15964</v>
          </cell>
          <cell r="E171">
            <v>48.7</v>
          </cell>
          <cell r="F171">
            <v>-3.1</v>
          </cell>
          <cell r="H171">
            <v>1</v>
          </cell>
        </row>
        <row r="172">
          <cell r="A172" t="str">
            <v>RIM</v>
          </cell>
          <cell r="B172">
            <v>5800</v>
          </cell>
          <cell r="C172">
            <v>15.9</v>
          </cell>
          <cell r="D172">
            <v>3192</v>
          </cell>
          <cell r="E172">
            <v>9.6999999999999993</v>
          </cell>
          <cell r="F172">
            <v>81.7</v>
          </cell>
        </row>
        <row r="173">
          <cell r="A173" t="str">
            <v>Apple</v>
          </cell>
          <cell r="B173">
            <v>4720</v>
          </cell>
          <cell r="C173">
            <v>12.9</v>
          </cell>
          <cell r="D173">
            <v>1104</v>
          </cell>
          <cell r="E173">
            <v>3.4</v>
          </cell>
          <cell r="F173">
            <v>327.5</v>
          </cell>
        </row>
        <row r="174">
          <cell r="A174" t="str">
            <v>HTC</v>
          </cell>
          <cell r="B174">
            <v>1656</v>
          </cell>
          <cell r="C174">
            <v>4.5</v>
          </cell>
          <cell r="D174">
            <v>1315</v>
          </cell>
          <cell r="E174">
            <v>4</v>
          </cell>
          <cell r="F174">
            <v>25.9</v>
          </cell>
        </row>
        <row r="175">
          <cell r="A175" t="str">
            <v>Sharp</v>
          </cell>
          <cell r="B175">
            <v>1239</v>
          </cell>
          <cell r="C175">
            <v>3.4</v>
          </cell>
          <cell r="D175">
            <v>1535</v>
          </cell>
          <cell r="E175">
            <v>4.7</v>
          </cell>
          <cell r="F175">
            <v>-19.3</v>
          </cell>
        </row>
        <row r="176">
          <cell r="A176" t="str">
            <v>Others</v>
          </cell>
          <cell r="B176">
            <v>7626</v>
          </cell>
          <cell r="C176">
            <v>20.9</v>
          </cell>
          <cell r="D176">
            <v>9643</v>
          </cell>
          <cell r="E176">
            <v>29.4</v>
          </cell>
          <cell r="F176">
            <v>-20.9</v>
          </cell>
        </row>
        <row r="177">
          <cell r="A177" t="str">
            <v>Total</v>
          </cell>
          <cell r="B177" t="str">
            <v>36,515</v>
          </cell>
          <cell r="C177" t="str">
            <v>100.0</v>
          </cell>
          <cell r="D177" t="str">
            <v>32,753</v>
          </cell>
          <cell r="E177" t="str">
            <v>100.0</v>
          </cell>
          <cell r="F177" t="str">
            <v>11.5</v>
          </cell>
        </row>
      </sheetData>
      <sheetData sheetId="2"/>
      <sheetData sheetId="3"/>
      <sheetData sheetId="4">
        <row r="1">
          <cell r="A1" t="str">
            <v>eMarketer</v>
          </cell>
        </row>
        <row r="2">
          <cell r="A2" t="str">
            <v>Mobile Music: Ads to the rescue</v>
          </cell>
        </row>
        <row r="3">
          <cell r="A3" t="str">
            <v>7/1/2008, pg1</v>
          </cell>
        </row>
        <row r="5">
          <cell r="B5">
            <v>2007</v>
          </cell>
          <cell r="C5">
            <v>2008</v>
          </cell>
          <cell r="D5">
            <v>2009</v>
          </cell>
          <cell r="E5">
            <v>2010</v>
          </cell>
          <cell r="F5">
            <v>2011</v>
          </cell>
          <cell r="G5">
            <v>2012</v>
          </cell>
        </row>
        <row r="6">
          <cell r="A6" t="str">
            <v>Mastertones, ringback tones &amp; other</v>
          </cell>
          <cell r="B6">
            <v>1.796</v>
          </cell>
          <cell r="C6">
            <v>2.3519999999999999</v>
          </cell>
          <cell r="D6">
            <v>3.0840000000000001</v>
          </cell>
          <cell r="E6">
            <v>4.2539999999999996</v>
          </cell>
          <cell r="F6">
            <v>5.8453999999999997</v>
          </cell>
          <cell r="G6">
            <v>8.0693999999999999</v>
          </cell>
          <cell r="H6">
            <v>0.35053854083336855</v>
          </cell>
        </row>
        <row r="7">
          <cell r="A7" t="str">
            <v>Full-track downloads</v>
          </cell>
          <cell r="B7">
            <v>0.63100000000000001</v>
          </cell>
          <cell r="C7">
            <v>0.96099999999999997</v>
          </cell>
          <cell r="D7">
            <v>1.4510000000000001</v>
          </cell>
          <cell r="E7">
            <v>2.1909999999999998</v>
          </cell>
          <cell r="F7">
            <v>3.4333999999999998</v>
          </cell>
          <cell r="G7">
            <v>5.3794000000000004</v>
          </cell>
          <cell r="H7">
            <v>0.53511493129849819</v>
          </cell>
        </row>
        <row r="8">
          <cell r="B8">
            <v>2.427</v>
          </cell>
          <cell r="C8">
            <v>3.3129999999999997</v>
          </cell>
          <cell r="D8">
            <v>4.5350000000000001</v>
          </cell>
          <cell r="E8">
            <v>6.4449999999999994</v>
          </cell>
          <cell r="F8">
            <v>9.2788000000000004</v>
          </cell>
          <cell r="G8">
            <v>13.4488</v>
          </cell>
          <cell r="H8">
            <v>0.40838941295571418</v>
          </cell>
        </row>
        <row r="10">
          <cell r="J10" t="str">
            <v>2007-12E CAGRs</v>
          </cell>
        </row>
        <row r="11">
          <cell r="J11" t="str">
            <v>Mastertones, ringback tones &amp; other</v>
          </cell>
          <cell r="K11">
            <v>0.35053854083336855</v>
          </cell>
        </row>
        <row r="12">
          <cell r="J12" t="str">
            <v>Full-track downloads</v>
          </cell>
          <cell r="K12">
            <v>0.53511493129849819</v>
          </cell>
        </row>
        <row r="13">
          <cell r="J13" t="str">
            <v>Total</v>
          </cell>
          <cell r="K13">
            <v>0.40838941295571418</v>
          </cell>
        </row>
        <row r="27">
          <cell r="B27">
            <v>2007</v>
          </cell>
          <cell r="C27">
            <v>2008</v>
          </cell>
          <cell r="D27">
            <v>2009</v>
          </cell>
          <cell r="E27">
            <v>2010</v>
          </cell>
          <cell r="F27">
            <v>2011</v>
          </cell>
          <cell r="G27">
            <v>2012</v>
          </cell>
        </row>
        <row r="28">
          <cell r="A28" t="str">
            <v>Ad-supported mobile music</v>
          </cell>
          <cell r="B28">
            <v>4.2000000000000003E-2</v>
          </cell>
          <cell r="C28">
            <v>0.11600000000000001</v>
          </cell>
          <cell r="D28">
            <v>0.22700000000000001</v>
          </cell>
          <cell r="E28">
            <v>0.41899999999999998</v>
          </cell>
          <cell r="F28">
            <v>0.83499999999999996</v>
          </cell>
          <cell r="G28">
            <v>1.5469999999999999</v>
          </cell>
        </row>
        <row r="29">
          <cell r="A29" t="str">
            <v>% of total</v>
          </cell>
          <cell r="B29">
            <v>1.73053152039555E-2</v>
          </cell>
          <cell r="C29">
            <v>3.5013582855418057E-2</v>
          </cell>
          <cell r="D29">
            <v>5.0055126791620726E-2</v>
          </cell>
          <cell r="E29">
            <v>6.5011636927851058E-2</v>
          </cell>
          <cell r="F29">
            <v>8.9990084924774755E-2</v>
          </cell>
          <cell r="G29">
            <v>0.11502885015763488</v>
          </cell>
        </row>
        <row r="46">
          <cell r="A46" t="str">
            <v>Gartner</v>
          </cell>
        </row>
        <row r="47">
          <cell r="A47" t="str">
            <v>Dataquest insight:  Outlook for Mobile Music</v>
          </cell>
        </row>
        <row r="48">
          <cell r="A48" t="str">
            <v>january 2008, Tables 3-6</v>
          </cell>
        </row>
        <row r="50">
          <cell r="B50">
            <v>2007</v>
          </cell>
          <cell r="C50">
            <v>2011</v>
          </cell>
          <cell r="E50">
            <v>1000</v>
          </cell>
        </row>
        <row r="51">
          <cell r="A51" t="str">
            <v>Real tones</v>
          </cell>
          <cell r="B51">
            <v>1.4332</v>
          </cell>
          <cell r="C51">
            <v>6.2774999999999999</v>
          </cell>
        </row>
        <row r="52">
          <cell r="A52" t="str">
            <v>Ring-back tones</v>
          </cell>
          <cell r="B52">
            <v>0.3634</v>
          </cell>
          <cell r="C52">
            <v>2.3056000000000001</v>
          </cell>
        </row>
        <row r="53">
          <cell r="A53" t="str">
            <v>Full tracks</v>
          </cell>
          <cell r="B53">
            <v>0.59339999999999993</v>
          </cell>
          <cell r="C53">
            <v>4.5270000000000001</v>
          </cell>
        </row>
        <row r="54">
          <cell r="B54">
            <v>2.3899999999999997</v>
          </cell>
          <cell r="C54">
            <v>13.110099999999999</v>
          </cell>
        </row>
        <row r="74">
          <cell r="A74" t="str">
            <v>eMarketer</v>
          </cell>
        </row>
        <row r="75">
          <cell r="A75" t="str">
            <v>Mobile Music: Ads to the rescue</v>
          </cell>
        </row>
        <row r="76">
          <cell r="A76" t="str">
            <v>7/1/2008, pg5</v>
          </cell>
        </row>
        <row r="78">
          <cell r="A78" t="str">
            <v>Online and mobile music revenues of the top 5 digital music countries worldwide</v>
          </cell>
        </row>
        <row r="79">
          <cell r="B79" t="str">
            <v>1H2007</v>
          </cell>
        </row>
        <row r="80">
          <cell r="B80" t="str">
            <v>Online</v>
          </cell>
          <cell r="C80" t="str">
            <v>Mobile</v>
          </cell>
        </row>
        <row r="81">
          <cell r="A81" t="str">
            <v>US</v>
          </cell>
          <cell r="B81">
            <v>0.67</v>
          </cell>
          <cell r="C81">
            <v>0.32999999999999996</v>
          </cell>
        </row>
        <row r="82">
          <cell r="A82" t="str">
            <v>Japan</v>
          </cell>
          <cell r="B82">
            <v>0.09</v>
          </cell>
          <cell r="C82">
            <v>0.91</v>
          </cell>
        </row>
        <row r="83">
          <cell r="A83" t="str">
            <v>UK</v>
          </cell>
          <cell r="B83">
            <v>0.71</v>
          </cell>
          <cell r="C83">
            <v>0.29000000000000004</v>
          </cell>
        </row>
        <row r="84">
          <cell r="A84" t="str">
            <v>S. Korea</v>
          </cell>
          <cell r="B84">
            <v>0.63</v>
          </cell>
          <cell r="C84">
            <v>0.37</v>
          </cell>
        </row>
        <row r="85">
          <cell r="A85" t="str">
            <v>Germany</v>
          </cell>
          <cell r="B85">
            <v>0.69</v>
          </cell>
          <cell r="C85">
            <v>0.31000000000000005</v>
          </cell>
        </row>
        <row r="86">
          <cell r="A86" t="str">
            <v>France</v>
          </cell>
          <cell r="B86">
            <v>0.39</v>
          </cell>
          <cell r="C86">
            <v>0.61</v>
          </cell>
        </row>
      </sheetData>
      <sheetData sheetId="5">
        <row r="1">
          <cell r="A1" t="str">
            <v>eMarketer</v>
          </cell>
        </row>
        <row r="2">
          <cell r="A2" t="str">
            <v>Mobile Games:  consumers don't pay to play</v>
          </cell>
        </row>
        <row r="3">
          <cell r="A3" t="str">
            <v>8/1/2008, pg 1</v>
          </cell>
        </row>
        <row r="5">
          <cell r="B5">
            <v>2007</v>
          </cell>
          <cell r="C5">
            <v>2008</v>
          </cell>
          <cell r="D5">
            <v>2009</v>
          </cell>
          <cell r="E5">
            <v>2010</v>
          </cell>
          <cell r="F5">
            <v>2011</v>
          </cell>
          <cell r="G5">
            <v>2012</v>
          </cell>
        </row>
        <row r="6">
          <cell r="A6" t="str">
            <v>Mobile gamers</v>
          </cell>
          <cell r="B6">
            <v>155</v>
          </cell>
          <cell r="C6">
            <v>204</v>
          </cell>
          <cell r="D6">
            <v>266</v>
          </cell>
          <cell r="E6">
            <v>336</v>
          </cell>
          <cell r="F6">
            <v>423</v>
          </cell>
          <cell r="G6">
            <v>500</v>
          </cell>
          <cell r="H6">
            <v>0.26394350119070853</v>
          </cell>
        </row>
        <row r="7">
          <cell r="A7" t="str">
            <v>Mobile game spending</v>
          </cell>
          <cell r="B7">
            <v>1.9379999999999999</v>
          </cell>
          <cell r="C7">
            <v>2.665</v>
          </cell>
          <cell r="D7">
            <v>3.5910000000000002</v>
          </cell>
          <cell r="E7">
            <v>4.641</v>
          </cell>
          <cell r="F7">
            <v>5.9219999999999997</v>
          </cell>
          <cell r="G7">
            <v>7.0309999999999997</v>
          </cell>
        </row>
        <row r="8">
          <cell r="A8" t="str">
            <v>ad supported</v>
          </cell>
          <cell r="B8">
            <v>9.7000000000000003E-2</v>
          </cell>
          <cell r="C8">
            <v>0.2</v>
          </cell>
          <cell r="D8">
            <v>0.35899999999999999</v>
          </cell>
          <cell r="E8">
            <v>0.57999999999999996</v>
          </cell>
          <cell r="F8">
            <v>0.88800000000000001</v>
          </cell>
          <cell r="G8">
            <v>1.266</v>
          </cell>
        </row>
        <row r="23">
          <cell r="B23">
            <v>2007</v>
          </cell>
          <cell r="C23">
            <v>2008</v>
          </cell>
          <cell r="D23">
            <v>2009</v>
          </cell>
          <cell r="E23">
            <v>2010</v>
          </cell>
          <cell r="F23">
            <v>2011</v>
          </cell>
          <cell r="G23">
            <v>2012</v>
          </cell>
        </row>
        <row r="24">
          <cell r="A24" t="str">
            <v>Mobile game spending</v>
          </cell>
          <cell r="B24">
            <v>1.9379999999999999</v>
          </cell>
          <cell r="C24">
            <v>2.665</v>
          </cell>
          <cell r="D24">
            <v>3.5910000000000002</v>
          </cell>
          <cell r="E24">
            <v>4.641</v>
          </cell>
          <cell r="F24">
            <v>5.9219999999999997</v>
          </cell>
          <cell r="G24">
            <v>7.0309999999999997</v>
          </cell>
        </row>
        <row r="25">
          <cell r="A25" t="str">
            <v>% ad-supported</v>
          </cell>
          <cell r="B25">
            <v>5.0051599587203302E-2</v>
          </cell>
          <cell r="C25">
            <v>7.5046904315197005E-2</v>
          </cell>
          <cell r="D25">
            <v>9.9972152603731546E-2</v>
          </cell>
          <cell r="E25">
            <v>0.12497306614953672</v>
          </cell>
          <cell r="F25">
            <v>0.14994934143870314</v>
          </cell>
          <cell r="G25">
            <v>0.1800597354572607</v>
          </cell>
        </row>
        <row r="42">
          <cell r="A42" t="str">
            <v>Gartner</v>
          </cell>
        </row>
        <row r="43">
          <cell r="A43" t="str">
            <v>Dataquest insight:  Outlook for Mobile Gaming</v>
          </cell>
        </row>
        <row r="44">
          <cell r="A44" t="str">
            <v>May 2008, Table 1</v>
          </cell>
        </row>
        <row r="46">
          <cell r="B46">
            <v>2007</v>
          </cell>
          <cell r="C46">
            <v>2011</v>
          </cell>
          <cell r="E46">
            <v>1000000</v>
          </cell>
        </row>
        <row r="47">
          <cell r="A47" t="str">
            <v>N. America</v>
          </cell>
          <cell r="B47">
            <v>0.74616080000000007</v>
          </cell>
          <cell r="C47">
            <v>1.1566078</v>
          </cell>
        </row>
        <row r="48">
          <cell r="A48" t="str">
            <v>W. Europe</v>
          </cell>
          <cell r="B48">
            <v>0.62918750000000001</v>
          </cell>
          <cell r="C48">
            <v>0.86160650000000005</v>
          </cell>
        </row>
        <row r="49">
          <cell r="A49" t="str">
            <v>APAC &amp; Japan</v>
          </cell>
          <cell r="B49">
            <v>1.9640093000000001</v>
          </cell>
          <cell r="C49">
            <v>3.3562846</v>
          </cell>
        </row>
        <row r="50">
          <cell r="A50" t="str">
            <v>ROW</v>
          </cell>
          <cell r="B50">
            <v>0.54317709999999997</v>
          </cell>
          <cell r="C50">
            <v>0.93112050000000002</v>
          </cell>
        </row>
        <row r="51">
          <cell r="B51">
            <v>3.8825347000000003</v>
          </cell>
          <cell r="C51">
            <v>6.3056193999999994</v>
          </cell>
        </row>
      </sheetData>
      <sheetData sheetId="6">
        <row r="1">
          <cell r="A1" t="str">
            <v>eMarketer</v>
          </cell>
        </row>
        <row r="2">
          <cell r="A2" t="str">
            <v>Mobile Video and TV:  Ads wait for a clearer picture</v>
          </cell>
        </row>
        <row r="3">
          <cell r="A3" t="str">
            <v>8/1/2008, Pg 4</v>
          </cell>
        </row>
        <row r="5">
          <cell r="B5">
            <v>2007</v>
          </cell>
          <cell r="C5">
            <v>2008</v>
          </cell>
          <cell r="D5">
            <v>2009</v>
          </cell>
          <cell r="E5">
            <v>2010</v>
          </cell>
          <cell r="F5">
            <v>2011</v>
          </cell>
          <cell r="G5">
            <v>2012</v>
          </cell>
        </row>
        <row r="6">
          <cell r="A6" t="str">
            <v>Mobile TV (broadcast)</v>
          </cell>
          <cell r="B6">
            <v>218.8</v>
          </cell>
          <cell r="C6">
            <v>533.6</v>
          </cell>
          <cell r="D6">
            <v>1101.8</v>
          </cell>
          <cell r="E6">
            <v>2027.6</v>
          </cell>
          <cell r="F6">
            <v>3194.4</v>
          </cell>
          <cell r="G6">
            <v>4393.7</v>
          </cell>
        </row>
        <row r="7">
          <cell r="A7" t="str">
            <v>Mobile TV (streaming)</v>
          </cell>
          <cell r="B7">
            <v>532.1</v>
          </cell>
          <cell r="C7">
            <v>863.7</v>
          </cell>
          <cell r="D7">
            <v>1135.3</v>
          </cell>
          <cell r="E7">
            <v>1138.4000000000001</v>
          </cell>
          <cell r="F7">
            <v>813.7</v>
          </cell>
          <cell r="G7">
            <v>453.1</v>
          </cell>
        </row>
        <row r="8">
          <cell r="A8" t="str">
            <v>Video</v>
          </cell>
          <cell r="B8">
            <v>1536.5</v>
          </cell>
          <cell r="C8">
            <v>2051.1</v>
          </cell>
          <cell r="D8">
            <v>2625.8</v>
          </cell>
          <cell r="E8">
            <v>3210.9</v>
          </cell>
          <cell r="F8">
            <v>3800.6</v>
          </cell>
          <cell r="G8">
            <v>4405.3</v>
          </cell>
        </row>
        <row r="10">
          <cell r="B10">
            <v>2007</v>
          </cell>
          <cell r="C10">
            <v>2008</v>
          </cell>
          <cell r="D10">
            <v>2009</v>
          </cell>
          <cell r="E10">
            <v>2010</v>
          </cell>
          <cell r="F10">
            <v>2011</v>
          </cell>
          <cell r="G10">
            <v>2012</v>
          </cell>
        </row>
        <row r="11">
          <cell r="A11" t="str">
            <v>TV</v>
          </cell>
          <cell r="B11">
            <v>0.75090000000000012</v>
          </cell>
          <cell r="C11">
            <v>1.3973000000000002</v>
          </cell>
          <cell r="D11">
            <v>2.2370999999999999</v>
          </cell>
          <cell r="E11">
            <v>3.1659999999999999</v>
          </cell>
          <cell r="F11">
            <v>4.0081000000000007</v>
          </cell>
          <cell r="G11">
            <v>4.8468</v>
          </cell>
          <cell r="H11">
            <v>0.45202668894574183</v>
          </cell>
        </row>
        <row r="12">
          <cell r="A12" t="str">
            <v>Video</v>
          </cell>
          <cell r="B12">
            <v>1.5365</v>
          </cell>
          <cell r="C12">
            <v>2.0510999999999999</v>
          </cell>
          <cell r="D12">
            <v>2.6258000000000004</v>
          </cell>
          <cell r="E12">
            <v>3.2109000000000001</v>
          </cell>
          <cell r="F12">
            <v>3.8005999999999998</v>
          </cell>
          <cell r="G12">
            <v>4.4053000000000004</v>
          </cell>
          <cell r="H12">
            <v>0.23449286705295225</v>
          </cell>
        </row>
        <row r="13">
          <cell r="B13">
            <v>2.2873999999999999</v>
          </cell>
          <cell r="C13">
            <v>3.4484000000000004</v>
          </cell>
          <cell r="D13">
            <v>4.8628999999999998</v>
          </cell>
          <cell r="E13">
            <v>6.3769</v>
          </cell>
          <cell r="F13">
            <v>7.8087</v>
          </cell>
          <cell r="G13">
            <v>9.2521000000000004</v>
          </cell>
          <cell r="H13">
            <v>0.3224511550702378</v>
          </cell>
        </row>
        <row r="15">
          <cell r="J15" t="str">
            <v>2007-12E CAGRs</v>
          </cell>
        </row>
        <row r="16">
          <cell r="J16" t="str">
            <v>TV</v>
          </cell>
          <cell r="K16">
            <v>0.45202668894574183</v>
          </cell>
        </row>
        <row r="17">
          <cell r="J17" t="str">
            <v>Video</v>
          </cell>
          <cell r="K17">
            <v>0.23449286705295225</v>
          </cell>
        </row>
        <row r="18">
          <cell r="J18" t="str">
            <v>Total</v>
          </cell>
          <cell r="K18">
            <v>0.3224511550702378</v>
          </cell>
        </row>
        <row r="34">
          <cell r="A34" t="str">
            <v>eMarketer</v>
          </cell>
        </row>
        <row r="35">
          <cell r="A35" t="str">
            <v>Mobile Video and TV:  Ads wait for a clearer picture</v>
          </cell>
        </row>
        <row r="36">
          <cell r="A36" t="str">
            <v>8/1/2008, Pg 4</v>
          </cell>
        </row>
        <row r="38">
          <cell r="B38">
            <v>2007</v>
          </cell>
          <cell r="C38">
            <v>2012</v>
          </cell>
          <cell r="D38" t="str">
            <v>CAGR</v>
          </cell>
        </row>
        <row r="39">
          <cell r="A39" t="str">
            <v>Video &amp; TV</v>
          </cell>
          <cell r="B39">
            <v>0.75090000000000012</v>
          </cell>
          <cell r="C39">
            <v>4.8468</v>
          </cell>
          <cell r="D39">
            <v>0.45202668894574183</v>
          </cell>
        </row>
        <row r="40">
          <cell r="A40" t="str">
            <v>Gambling</v>
          </cell>
          <cell r="B40">
            <v>0.1075</v>
          </cell>
          <cell r="C40">
            <v>0.26300000000000001</v>
          </cell>
          <cell r="D40">
            <v>0.19594017924279705</v>
          </cell>
        </row>
        <row r="41">
          <cell r="A41" t="str">
            <v>Games</v>
          </cell>
          <cell r="B41">
            <v>3.2131999999999996</v>
          </cell>
          <cell r="C41">
            <v>7.2442000000000002</v>
          </cell>
          <cell r="D41">
            <v>0.17655039703381359</v>
          </cell>
        </row>
        <row r="42">
          <cell r="A42" t="str">
            <v>Music</v>
          </cell>
          <cell r="B42">
            <v>7.3566000000000003</v>
          </cell>
          <cell r="C42">
            <v>11.956200000000001</v>
          </cell>
          <cell r="D42">
            <v>0.10200408823949036</v>
          </cell>
        </row>
        <row r="43">
          <cell r="A43" t="str">
            <v>Images</v>
          </cell>
          <cell r="B43">
            <v>2.722</v>
          </cell>
          <cell r="C43">
            <v>2.9434999999999998</v>
          </cell>
          <cell r="D43">
            <v>1.5769536275912932E-2</v>
          </cell>
        </row>
        <row r="62">
          <cell r="A62" t="str">
            <v>eMarketer</v>
          </cell>
        </row>
        <row r="63">
          <cell r="A63" t="str">
            <v>Mobile Video and TV:  Ads wait for a clearer picture</v>
          </cell>
        </row>
        <row r="64">
          <cell r="A64" t="str">
            <v>8/1/2008, Pg 6</v>
          </cell>
        </row>
        <row r="67">
          <cell r="A67" t="str">
            <v>Brazil</v>
          </cell>
          <cell r="B67">
            <v>0.51</v>
          </cell>
        </row>
        <row r="68">
          <cell r="A68" t="str">
            <v>France</v>
          </cell>
          <cell r="B68">
            <v>0.26</v>
          </cell>
        </row>
        <row r="69">
          <cell r="A69" t="str">
            <v>Germany</v>
          </cell>
          <cell r="B69">
            <v>0.25</v>
          </cell>
        </row>
        <row r="70">
          <cell r="A70" t="str">
            <v>Italy</v>
          </cell>
          <cell r="B70">
            <v>0.44</v>
          </cell>
        </row>
        <row r="71">
          <cell r="A71" t="str">
            <v>Mexico</v>
          </cell>
          <cell r="B71">
            <v>0.66</v>
          </cell>
        </row>
        <row r="72">
          <cell r="A72" t="str">
            <v>Spain</v>
          </cell>
          <cell r="B72">
            <v>0.41</v>
          </cell>
        </row>
        <row r="73">
          <cell r="A73" t="str">
            <v>UK</v>
          </cell>
          <cell r="B73">
            <v>0.31</v>
          </cell>
        </row>
        <row r="74">
          <cell r="A74" t="str">
            <v>US</v>
          </cell>
          <cell r="B74">
            <v>0.23</v>
          </cell>
        </row>
        <row r="82">
          <cell r="A82" t="str">
            <v>eMarketer</v>
          </cell>
        </row>
        <row r="83">
          <cell r="A83" t="str">
            <v>Mobile Video and TV:  Ads wait for a clearer picture</v>
          </cell>
        </row>
        <row r="84">
          <cell r="A84" t="str">
            <v>8/1/2008, Pg 10</v>
          </cell>
        </row>
        <row r="86">
          <cell r="B86" t="str">
            <v>iPhone</v>
          </cell>
          <cell r="C86" t="str">
            <v>Smartphone</v>
          </cell>
          <cell r="D86" t="str">
            <v>All mobile</v>
          </cell>
        </row>
        <row r="87">
          <cell r="A87" t="str">
            <v>News/info via browser</v>
          </cell>
          <cell r="B87">
            <v>0.84799999999999998</v>
          </cell>
          <cell r="C87">
            <v>0.58199999999999996</v>
          </cell>
          <cell r="D87">
            <v>0.13100000000000001</v>
          </cell>
        </row>
        <row r="88">
          <cell r="A88" t="str">
            <v>Web search</v>
          </cell>
          <cell r="B88">
            <v>0.58599999999999997</v>
          </cell>
          <cell r="C88">
            <v>0.37</v>
          </cell>
          <cell r="D88">
            <v>6.0999999999999999E-2</v>
          </cell>
        </row>
        <row r="89">
          <cell r="A89" t="str">
            <v>Mobile TV/video</v>
          </cell>
          <cell r="B89">
            <v>0.309</v>
          </cell>
          <cell r="C89">
            <v>0.14199999999999999</v>
          </cell>
          <cell r="D89">
            <v>4.5999999999999999E-2</v>
          </cell>
        </row>
        <row r="90">
          <cell r="A90" t="str">
            <v>On-demand TV/video</v>
          </cell>
          <cell r="B90">
            <v>0.20899999999999999</v>
          </cell>
          <cell r="C90">
            <v>7.0000000000000007E-2</v>
          </cell>
          <cell r="D90">
            <v>1.4E-2</v>
          </cell>
        </row>
        <row r="91">
          <cell r="A91" t="str">
            <v>SNS/blog use</v>
          </cell>
          <cell r="B91">
            <v>0.497</v>
          </cell>
          <cell r="C91">
            <v>0.19400000000000001</v>
          </cell>
          <cell r="D91">
            <v>4.2000000000000003E-2</v>
          </cell>
        </row>
        <row r="92">
          <cell r="A92" t="str">
            <v>Music</v>
          </cell>
          <cell r="B92">
            <v>0.74099999999999999</v>
          </cell>
          <cell r="C92">
            <v>0.27900000000000003</v>
          </cell>
          <cell r="D92">
            <v>6.7000000000000004E-2</v>
          </cell>
        </row>
      </sheetData>
      <sheetData sheetId="7">
        <row r="1">
          <cell r="A1" t="str">
            <v>Gartner</v>
          </cell>
          <cell r="J1" t="str">
            <v>eMarketer</v>
          </cell>
        </row>
        <row r="2">
          <cell r="A2" t="str">
            <v>Publication Date: 29 January 2008</v>
          </cell>
          <cell r="J2" t="str">
            <v>Mobile Location-Based Services</v>
          </cell>
        </row>
        <row r="3">
          <cell r="A3" t="str">
            <v>Dataquest Insight: Location- Based Services Subscriber</v>
          </cell>
          <cell r="J3">
            <v>39722</v>
          </cell>
        </row>
        <row r="4">
          <cell r="A4" t="str">
            <v>and Revenue Forecast, 2006-2011</v>
          </cell>
        </row>
        <row r="7">
          <cell r="A7" t="str">
            <v>Table 1 - subscriber forecasts</v>
          </cell>
          <cell r="J7" t="str">
            <v>Mobile LBS Users worldwide (MM)</v>
          </cell>
        </row>
        <row r="8">
          <cell r="A8" t="str">
            <v>MM</v>
          </cell>
        </row>
        <row r="9">
          <cell r="B9">
            <v>2006</v>
          </cell>
          <cell r="C9">
            <v>2007</v>
          </cell>
          <cell r="D9">
            <v>2008</v>
          </cell>
          <cell r="E9">
            <v>2009</v>
          </cell>
          <cell r="F9">
            <v>2010</v>
          </cell>
          <cell r="G9">
            <v>2011</v>
          </cell>
          <cell r="K9">
            <v>2007</v>
          </cell>
          <cell r="L9">
            <v>2008</v>
          </cell>
          <cell r="M9">
            <v>2009</v>
          </cell>
          <cell r="N9">
            <v>2010</v>
          </cell>
          <cell r="O9">
            <v>2011</v>
          </cell>
          <cell r="P9">
            <v>2012</v>
          </cell>
        </row>
        <row r="10">
          <cell r="A10" t="str">
            <v>Total</v>
          </cell>
          <cell r="B10">
            <v>6.9876000000000005</v>
          </cell>
          <cell r="C10">
            <v>16.077200000000001</v>
          </cell>
          <cell r="D10">
            <v>43.160499999999999</v>
          </cell>
          <cell r="E10">
            <v>95.32419999999999</v>
          </cell>
          <cell r="F10">
            <v>181.87679999999997</v>
          </cell>
          <cell r="G10">
            <v>297.96089999999998</v>
          </cell>
          <cell r="H10">
            <v>1.0748524394833328</v>
          </cell>
          <cell r="J10" t="str">
            <v>Users</v>
          </cell>
          <cell r="K10">
            <v>18.899999999999999</v>
          </cell>
          <cell r="L10">
            <v>61.3</v>
          </cell>
          <cell r="M10">
            <v>134</v>
          </cell>
          <cell r="N10">
            <v>215.3</v>
          </cell>
          <cell r="O10">
            <v>329</v>
          </cell>
          <cell r="P10">
            <v>486</v>
          </cell>
          <cell r="Q10">
            <v>0.91440973045081053</v>
          </cell>
        </row>
        <row r="11">
          <cell r="A11" t="str">
            <v>Western Europe</v>
          </cell>
          <cell r="B11">
            <v>5.4999999999999997E-3</v>
          </cell>
          <cell r="C11">
            <v>0.26200000000000001</v>
          </cell>
          <cell r="D11">
            <v>3.5871</v>
          </cell>
          <cell r="E11">
            <v>12.119399999999999</v>
          </cell>
          <cell r="F11">
            <v>29.5106</v>
          </cell>
          <cell r="G11">
            <v>55.266300000000001</v>
          </cell>
          <cell r="J11" t="str">
            <v>Growth</v>
          </cell>
          <cell r="L11">
            <v>2.2433862433862433</v>
          </cell>
          <cell r="M11">
            <v>1.1859706362153344</v>
          </cell>
          <cell r="N11">
            <v>0.60671641791044784</v>
          </cell>
          <cell r="O11">
            <v>0.52810032512772875</v>
          </cell>
          <cell r="P11">
            <v>0.47720364741641341</v>
          </cell>
        </row>
        <row r="12">
          <cell r="A12" t="str">
            <v>North America</v>
          </cell>
          <cell r="B12">
            <v>2.0352999999999999</v>
          </cell>
          <cell r="C12">
            <v>4.8551000000000002</v>
          </cell>
          <cell r="D12">
            <v>14.733700000000001</v>
          </cell>
          <cell r="E12">
            <v>27.152799999999999</v>
          </cell>
          <cell r="F12">
            <v>48.6967</v>
          </cell>
          <cell r="G12">
            <v>71.456600000000009</v>
          </cell>
        </row>
        <row r="13">
          <cell r="A13" t="str">
            <v>Asia/Pacific</v>
          </cell>
          <cell r="B13">
            <v>1.6259000000000001</v>
          </cell>
          <cell r="C13">
            <v>5.4368999999999996</v>
          </cell>
          <cell r="D13">
            <v>15.4108</v>
          </cell>
          <cell r="E13">
            <v>36.051199999999994</v>
          </cell>
          <cell r="F13">
            <v>68.115899999999996</v>
          </cell>
          <cell r="G13">
            <v>117.15349999999999</v>
          </cell>
        </row>
        <row r="14">
          <cell r="A14" t="str">
            <v>Japan</v>
          </cell>
          <cell r="B14">
            <v>3.3209</v>
          </cell>
          <cell r="C14">
            <v>5.5232000000000001</v>
          </cell>
          <cell r="D14">
            <v>9.4289000000000005</v>
          </cell>
          <cell r="E14">
            <v>20.000799999999998</v>
          </cell>
          <cell r="F14">
            <v>35.553599999999996</v>
          </cell>
          <cell r="G14">
            <v>54.084499999999998</v>
          </cell>
        </row>
        <row r="30">
          <cell r="A30" t="str">
            <v>Table 2 - revenue forecast</v>
          </cell>
        </row>
        <row r="31">
          <cell r="A31" t="str">
            <v>bn</v>
          </cell>
        </row>
        <row r="32">
          <cell r="B32">
            <v>2006</v>
          </cell>
          <cell r="C32">
            <v>2007</v>
          </cell>
          <cell r="D32">
            <v>2008</v>
          </cell>
          <cell r="E32">
            <v>2009</v>
          </cell>
          <cell r="F32">
            <v>2010</v>
          </cell>
          <cell r="G32">
            <v>2011</v>
          </cell>
        </row>
        <row r="33">
          <cell r="A33" t="str">
            <v>Total</v>
          </cell>
          <cell r="B33">
            <v>0.2046</v>
          </cell>
          <cell r="C33">
            <v>0.48519999999999996</v>
          </cell>
          <cell r="D33">
            <v>1.3073000000000001</v>
          </cell>
          <cell r="E33">
            <v>2.7176000000000005</v>
          </cell>
          <cell r="F33">
            <v>5.1031000000000004</v>
          </cell>
          <cell r="G33">
            <v>8.0903000000000009</v>
          </cell>
          <cell r="H33">
            <v>1.020742420477065</v>
          </cell>
        </row>
        <row r="34">
          <cell r="A34" t="str">
            <v>Western Europe</v>
          </cell>
          <cell r="B34">
            <v>2.0000000000000001E-4</v>
          </cell>
          <cell r="C34">
            <v>1.1599999999999999E-2</v>
          </cell>
          <cell r="D34">
            <v>0.16119999999999998</v>
          </cell>
          <cell r="E34">
            <v>0.51919999999999999</v>
          </cell>
          <cell r="F34">
            <v>1.2255999999999998</v>
          </cell>
          <cell r="G34">
            <v>2.2918000000000003</v>
          </cell>
        </row>
        <row r="35">
          <cell r="A35" t="str">
            <v>North America</v>
          </cell>
          <cell r="B35">
            <v>5.5E-2</v>
          </cell>
          <cell r="C35">
            <v>0.14909999999999998</v>
          </cell>
          <cell r="D35">
            <v>0.49130000000000001</v>
          </cell>
          <cell r="E35">
            <v>0.86260000000000003</v>
          </cell>
          <cell r="F35">
            <v>1.5225</v>
          </cell>
          <cell r="G35">
            <v>2.1739000000000002</v>
          </cell>
        </row>
        <row r="36">
          <cell r="A36" t="str">
            <v>Asia/Pacific</v>
          </cell>
          <cell r="B36">
            <v>4.7700000000000006E-2</v>
          </cell>
          <cell r="C36">
            <v>0.15869999999999998</v>
          </cell>
          <cell r="D36">
            <v>0.38600000000000001</v>
          </cell>
          <cell r="E36">
            <v>0.81110000000000004</v>
          </cell>
          <cell r="F36">
            <v>1.5250999999999999</v>
          </cell>
          <cell r="G36">
            <v>2.5516000000000001</v>
          </cell>
        </row>
        <row r="37">
          <cell r="A37" t="str">
            <v>Japan</v>
          </cell>
          <cell r="B37">
            <v>0.1017</v>
          </cell>
          <cell r="C37">
            <v>0.1658</v>
          </cell>
          <cell r="D37">
            <v>0.26880000000000004</v>
          </cell>
          <cell r="E37">
            <v>0.52470000000000006</v>
          </cell>
          <cell r="F37">
            <v>0.82989999999999997</v>
          </cell>
          <cell r="G37">
            <v>1.073</v>
          </cell>
        </row>
        <row r="53">
          <cell r="A53" t="str">
            <v>Gartner</v>
          </cell>
        </row>
        <row r="54">
          <cell r="A54" t="str">
            <v>LBS usage rate</v>
          </cell>
        </row>
        <row r="55">
          <cell r="A55" t="str">
            <v>Hype Cycle for Consumer Mobile Applications, 2008</v>
          </cell>
        </row>
        <row r="56">
          <cell r="A56">
            <v>39630</v>
          </cell>
        </row>
        <row r="58">
          <cell r="A58" t="str">
            <v>South Korea</v>
          </cell>
          <cell r="B58">
            <v>0.12</v>
          </cell>
        </row>
        <row r="59">
          <cell r="A59" t="str">
            <v>Japan</v>
          </cell>
          <cell r="B59">
            <v>0.08</v>
          </cell>
        </row>
        <row r="60">
          <cell r="A60" t="str">
            <v>Australia</v>
          </cell>
          <cell r="B60">
            <v>7.0000000000000007E-2</v>
          </cell>
        </row>
        <row r="61">
          <cell r="A61" t="str">
            <v>Europe</v>
          </cell>
          <cell r="B61">
            <v>0.05</v>
          </cell>
        </row>
        <row r="62">
          <cell r="A62" t="str">
            <v>N. America</v>
          </cell>
          <cell r="B62">
            <v>0.05</v>
          </cell>
        </row>
        <row r="72">
          <cell r="J72" t="str">
            <v>Parks Associates (cited in eMarketer report)</v>
          </cell>
        </row>
        <row r="73">
          <cell r="A73" t="str">
            <v>Gartner</v>
          </cell>
          <cell r="J73" t="str">
            <v>GPS integrated mobile device shipments worldwidw (MM)</v>
          </cell>
        </row>
        <row r="74">
          <cell r="A74" t="str">
            <v>Mobile Business 2.0 Trends</v>
          </cell>
        </row>
        <row r="75">
          <cell r="A75" t="str">
            <v>Page 6</v>
          </cell>
          <cell r="K75">
            <v>2007</v>
          </cell>
          <cell r="L75">
            <v>2008</v>
          </cell>
          <cell r="M75">
            <v>2009</v>
          </cell>
          <cell r="N75">
            <v>2010</v>
          </cell>
          <cell r="O75">
            <v>2011</v>
          </cell>
          <cell r="P75">
            <v>2012</v>
          </cell>
        </row>
        <row r="76">
          <cell r="J76" t="str">
            <v>Units</v>
          </cell>
          <cell r="K76">
            <v>162</v>
          </cell>
          <cell r="L76">
            <v>271</v>
          </cell>
          <cell r="M76">
            <v>394</v>
          </cell>
          <cell r="N76">
            <v>508</v>
          </cell>
          <cell r="O76">
            <v>680</v>
          </cell>
          <cell r="P76">
            <v>834</v>
          </cell>
          <cell r="Q76">
            <v>0.38781062218130447</v>
          </cell>
        </row>
        <row r="78">
          <cell r="A78" t="str">
            <v>GPS in device</v>
          </cell>
          <cell r="B78">
            <v>0.4</v>
          </cell>
        </row>
        <row r="79">
          <cell r="A79" t="str">
            <v>No GPS in device</v>
          </cell>
          <cell r="B79">
            <v>0.6</v>
          </cell>
        </row>
      </sheetData>
      <sheetData sheetId="8">
        <row r="1">
          <cell r="A1" t="str">
            <v>eMarketer</v>
          </cell>
        </row>
        <row r="2">
          <cell r="A2" t="str">
            <v>Mobile Social Networks</v>
          </cell>
        </row>
        <row r="3">
          <cell r="A3">
            <v>39569</v>
          </cell>
        </row>
        <row r="4">
          <cell r="A4" t="str">
            <v>Pg 1</v>
          </cell>
        </row>
        <row r="6">
          <cell r="B6">
            <v>2007</v>
          </cell>
          <cell r="C6">
            <v>2008</v>
          </cell>
          <cell r="D6">
            <v>2009</v>
          </cell>
          <cell r="E6">
            <v>2010</v>
          </cell>
          <cell r="F6">
            <v>2011</v>
          </cell>
          <cell r="G6">
            <v>2012</v>
          </cell>
        </row>
        <row r="7">
          <cell r="A7" t="str">
            <v>Mobile social network users</v>
          </cell>
          <cell r="B7">
            <v>82</v>
          </cell>
          <cell r="C7">
            <v>147</v>
          </cell>
          <cell r="D7">
            <v>243</v>
          </cell>
          <cell r="E7">
            <v>369</v>
          </cell>
          <cell r="F7">
            <v>554</v>
          </cell>
          <cell r="G7">
            <v>803</v>
          </cell>
          <cell r="H7">
            <v>0.57826650080191233</v>
          </cell>
        </row>
        <row r="8">
          <cell r="A8" t="str">
            <v>% of mobile subscribers</v>
          </cell>
          <cell r="B8">
            <v>2.7E-2</v>
          </cell>
          <cell r="C8">
            <v>4.2999999999999997E-2</v>
          </cell>
          <cell r="D8">
            <v>6.6000000000000003E-2</v>
          </cell>
          <cell r="E8">
            <v>9.5000000000000001E-2</v>
          </cell>
          <cell r="F8">
            <v>0.13300000000000001</v>
          </cell>
          <cell r="G8">
            <v>0.188</v>
          </cell>
        </row>
        <row r="25">
          <cell r="A25" t="str">
            <v>eMarketer</v>
          </cell>
        </row>
        <row r="26">
          <cell r="A26" t="str">
            <v>Mobile Social Networks</v>
          </cell>
        </row>
        <row r="27">
          <cell r="A27">
            <v>39569</v>
          </cell>
        </row>
        <row r="28">
          <cell r="A28" t="str">
            <v>Pg 7</v>
          </cell>
        </row>
        <row r="30">
          <cell r="B30" t="str">
            <v>Online</v>
          </cell>
          <cell r="C30" t="str">
            <v>Mobile</v>
          </cell>
        </row>
        <row r="31">
          <cell r="A31" t="str">
            <v>Several times a day</v>
          </cell>
          <cell r="B31">
            <v>0.12</v>
          </cell>
          <cell r="C31">
            <v>0</v>
          </cell>
        </row>
        <row r="32">
          <cell r="A32" t="str">
            <v>Once a day</v>
          </cell>
          <cell r="B32">
            <v>0.08</v>
          </cell>
          <cell r="C32">
            <v>0</v>
          </cell>
        </row>
        <row r="33">
          <cell r="A33" t="str">
            <v>Several times a week</v>
          </cell>
          <cell r="B33">
            <v>0.23</v>
          </cell>
          <cell r="C33">
            <v>7.0000000000000007E-2</v>
          </cell>
        </row>
        <row r="34">
          <cell r="A34" t="str">
            <v>Once a week</v>
          </cell>
          <cell r="B34">
            <v>0.08</v>
          </cell>
          <cell r="C34">
            <v>7.0000000000000007E-2</v>
          </cell>
        </row>
        <row r="35">
          <cell r="A35" t="str">
            <v>Several times a month</v>
          </cell>
          <cell r="B35">
            <v>0.26</v>
          </cell>
          <cell r="C35">
            <v>0.11</v>
          </cell>
        </row>
        <row r="36">
          <cell r="A36" t="str">
            <v>Once in awhile</v>
          </cell>
          <cell r="B36">
            <v>0.15</v>
          </cell>
          <cell r="C36">
            <v>0.42</v>
          </cell>
        </row>
        <row r="37">
          <cell r="A37" t="str">
            <v>Never</v>
          </cell>
          <cell r="B37">
            <v>0.08</v>
          </cell>
          <cell r="C37">
            <v>0.33</v>
          </cell>
        </row>
        <row r="53">
          <cell r="A53" t="str">
            <v>eMarketer</v>
          </cell>
        </row>
        <row r="54">
          <cell r="A54" t="str">
            <v>Mobile Social Networks</v>
          </cell>
        </row>
        <row r="55">
          <cell r="A55">
            <v>39569</v>
          </cell>
        </row>
        <row r="56">
          <cell r="A56" t="str">
            <v>Pg 6</v>
          </cell>
        </row>
        <row r="58">
          <cell r="B58" t="str">
            <v>Social network users</v>
          </cell>
          <cell r="C58" t="str">
            <v>Non-social network users</v>
          </cell>
        </row>
        <row r="59">
          <cell r="A59" t="str">
            <v>Sent/received SMS text</v>
          </cell>
          <cell r="B59">
            <v>0.6</v>
          </cell>
          <cell r="C59">
            <v>0.25</v>
          </cell>
        </row>
        <row r="60">
          <cell r="A60" t="str">
            <v>Sent/received email</v>
          </cell>
          <cell r="B60">
            <v>0.59</v>
          </cell>
          <cell r="C60">
            <v>0.42</v>
          </cell>
        </row>
        <row r="61">
          <cell r="A61" t="str">
            <v>Browsed Internet for news/info</v>
          </cell>
          <cell r="B61">
            <v>0.59</v>
          </cell>
          <cell r="C61">
            <v>0.39</v>
          </cell>
        </row>
        <row r="62">
          <cell r="A62" t="str">
            <v>Sent/received digital pics</v>
          </cell>
          <cell r="B62">
            <v>0.54</v>
          </cell>
          <cell r="C62">
            <v>0.28999999999999998</v>
          </cell>
        </row>
        <row r="63">
          <cell r="A63" t="str">
            <v>Played video game</v>
          </cell>
          <cell r="B63">
            <v>0.42</v>
          </cell>
          <cell r="C63">
            <v>0.17</v>
          </cell>
        </row>
        <row r="85">
          <cell r="A85" t="str">
            <v>Frost, Insight into US mobile SNS, March 2008</v>
          </cell>
        </row>
        <row r="86">
          <cell r="A86" t="str">
            <v>F i g u r e 4 - 1</v>
          </cell>
        </row>
        <row r="87">
          <cell r="A87" t="str">
            <v>An Insight into U.S. Mobile Social Networking Market: Application Revenues from On-deck</v>
          </cell>
        </row>
        <row r="88">
          <cell r="A88" t="str">
            <v>Mobile Social Networking Services (U.S.), 2007-2012</v>
          </cell>
        </row>
        <row r="90">
          <cell r="B90" t="str">
            <v>Revenues (MM)</v>
          </cell>
        </row>
        <row r="91">
          <cell r="A91">
            <v>2007</v>
          </cell>
          <cell r="B91">
            <v>57.4</v>
          </cell>
        </row>
        <row r="92">
          <cell r="A92">
            <v>2008</v>
          </cell>
          <cell r="B92">
            <v>140.9</v>
          </cell>
        </row>
        <row r="93">
          <cell r="A93">
            <v>2009</v>
          </cell>
          <cell r="B93">
            <v>216</v>
          </cell>
        </row>
        <row r="94">
          <cell r="A94">
            <v>2010</v>
          </cell>
          <cell r="B94">
            <v>294</v>
          </cell>
        </row>
        <row r="95">
          <cell r="A95">
            <v>2011</v>
          </cell>
          <cell r="B95">
            <v>365.4</v>
          </cell>
        </row>
        <row r="96">
          <cell r="A96">
            <v>2012</v>
          </cell>
          <cell r="B96">
            <v>412.1</v>
          </cell>
        </row>
        <row r="97">
          <cell r="B97">
            <v>0.48326293525306396</v>
          </cell>
        </row>
      </sheetData>
      <sheetData sheetId="9">
        <row r="1">
          <cell r="A1" t="str">
            <v>IDC</v>
          </cell>
        </row>
        <row r="2">
          <cell r="A2" t="str">
            <v>Worldwide Mobile Worker Population by Segment, 2006–2011 (M)</v>
          </cell>
        </row>
        <row r="3">
          <cell r="A3" t="str">
            <v>Figure 4</v>
          </cell>
        </row>
        <row r="5">
          <cell r="B5">
            <v>2006</v>
          </cell>
          <cell r="C5">
            <v>2011</v>
          </cell>
        </row>
        <row r="6">
          <cell r="A6" t="str">
            <v>APAC</v>
          </cell>
          <cell r="B6">
            <v>0.63300000000000001</v>
          </cell>
          <cell r="C6">
            <v>0.66800000000000004</v>
          </cell>
        </row>
        <row r="7">
          <cell r="A7" t="str">
            <v>US</v>
          </cell>
          <cell r="B7">
            <v>0.13900000000000001</v>
          </cell>
          <cell r="C7">
            <v>0.11899999999999999</v>
          </cell>
        </row>
        <row r="8">
          <cell r="A8" t="str">
            <v>W. Europe</v>
          </cell>
          <cell r="B8">
            <v>0.113</v>
          </cell>
          <cell r="C8">
            <v>9.2999999999999999E-2</v>
          </cell>
        </row>
        <row r="9">
          <cell r="A9" t="str">
            <v>Japan</v>
          </cell>
          <cell r="B9">
            <v>4.5999999999999999E-2</v>
          </cell>
          <cell r="C9">
            <v>5.2999999999999999E-2</v>
          </cell>
        </row>
        <row r="10">
          <cell r="A10" t="str">
            <v>ROW</v>
          </cell>
          <cell r="B10">
            <v>6.9000000000000006E-2</v>
          </cell>
          <cell r="C10">
            <v>6.7000000000000004E-2</v>
          </cell>
        </row>
        <row r="29">
          <cell r="A29" t="str">
            <v>IDC</v>
          </cell>
        </row>
        <row r="30">
          <cell r="A30" t="str">
            <v>Worldwide Mobile Worker Population by Segment, 2006–2011 (M)</v>
          </cell>
        </row>
        <row r="31">
          <cell r="A31" t="str">
            <v>Table 2</v>
          </cell>
        </row>
        <row r="32">
          <cell r="B32">
            <v>2006</v>
          </cell>
          <cell r="C32">
            <v>2007</v>
          </cell>
          <cell r="D32">
            <v>2008</v>
          </cell>
          <cell r="E32">
            <v>2009</v>
          </cell>
          <cell r="F32">
            <v>2010</v>
          </cell>
          <cell r="G32">
            <v>2011</v>
          </cell>
        </row>
        <row r="33">
          <cell r="A33" t="str">
            <v>Mobile office</v>
          </cell>
          <cell r="B33">
            <v>472.7</v>
          </cell>
          <cell r="C33">
            <v>498.7</v>
          </cell>
          <cell r="D33">
            <v>527.6</v>
          </cell>
          <cell r="E33">
            <v>556.70000000000005</v>
          </cell>
          <cell r="F33">
            <v>588.29999999999995</v>
          </cell>
          <cell r="G33">
            <v>622.9</v>
          </cell>
        </row>
        <row r="34">
          <cell r="A34" t="str">
            <v>Mobile nonoffice</v>
          </cell>
          <cell r="B34">
            <v>240.5</v>
          </cell>
          <cell r="C34">
            <v>254.7</v>
          </cell>
          <cell r="D34">
            <v>269.8</v>
          </cell>
          <cell r="E34">
            <v>286.7</v>
          </cell>
          <cell r="F34">
            <v>304</v>
          </cell>
          <cell r="G34">
            <v>324.39999999999998</v>
          </cell>
        </row>
        <row r="35">
          <cell r="A35" t="str">
            <v>Mobile home based</v>
          </cell>
          <cell r="B35">
            <v>45.4</v>
          </cell>
          <cell r="C35">
            <v>47.7</v>
          </cell>
          <cell r="D35">
            <v>50.5</v>
          </cell>
          <cell r="E35">
            <v>53.1</v>
          </cell>
          <cell r="F35">
            <v>55.4</v>
          </cell>
          <cell r="G35">
            <v>58</v>
          </cell>
        </row>
        <row r="36">
          <cell r="B36">
            <v>758.6</v>
          </cell>
          <cell r="C36">
            <v>801.1</v>
          </cell>
          <cell r="D36">
            <v>847.90000000000009</v>
          </cell>
          <cell r="E36">
            <v>896.50000000000011</v>
          </cell>
          <cell r="F36">
            <v>947.69999999999993</v>
          </cell>
          <cell r="G36">
            <v>1005.3</v>
          </cell>
          <cell r="H36">
            <v>5.7929113618942152E-2</v>
          </cell>
        </row>
        <row r="58">
          <cell r="A58" t="str">
            <v>IDC</v>
          </cell>
        </row>
        <row r="59">
          <cell r="A59" t="str">
            <v>Wor ldwi d e Corporate Mob ile Emai l 2008-2012, Forecast a n d Anal ysi s</v>
          </cell>
        </row>
        <row r="60">
          <cell r="A60" t="str">
            <v>Table 2, Page 11</v>
          </cell>
        </row>
        <row r="61">
          <cell r="A61" t="str">
            <v>March 2008</v>
          </cell>
        </row>
        <row r="62">
          <cell r="A62" t="str">
            <v>$bn</v>
          </cell>
        </row>
        <row r="63">
          <cell r="B63">
            <v>2007</v>
          </cell>
          <cell r="C63">
            <v>2008</v>
          </cell>
          <cell r="D63">
            <v>2009</v>
          </cell>
          <cell r="E63">
            <v>2010</v>
          </cell>
          <cell r="F63">
            <v>2011</v>
          </cell>
          <cell r="G63">
            <v>2012</v>
          </cell>
        </row>
        <row r="64">
          <cell r="A64" t="str">
            <v>Americas</v>
          </cell>
          <cell r="B64">
            <v>262.74</v>
          </cell>
          <cell r="C64">
            <v>335.6</v>
          </cell>
          <cell r="D64">
            <v>442.8</v>
          </cell>
          <cell r="E64">
            <v>563.26</v>
          </cell>
          <cell r="F64">
            <v>692.04</v>
          </cell>
          <cell r="G64">
            <v>824.9</v>
          </cell>
          <cell r="H64">
            <v>0.25711503805619373</v>
          </cell>
        </row>
        <row r="65">
          <cell r="A65" t="str">
            <v>EMEA</v>
          </cell>
          <cell r="B65">
            <v>120.54</v>
          </cell>
          <cell r="C65">
            <v>157.19999999999999</v>
          </cell>
          <cell r="D65">
            <v>217.5</v>
          </cell>
          <cell r="E65">
            <v>284.36</v>
          </cell>
          <cell r="F65">
            <v>356.24</v>
          </cell>
          <cell r="G65">
            <v>430.8</v>
          </cell>
          <cell r="H65">
            <v>0.29011641623541728</v>
          </cell>
        </row>
        <row r="66">
          <cell r="A66" t="str">
            <v>Asia/Pacific</v>
          </cell>
          <cell r="B66">
            <v>26.6</v>
          </cell>
          <cell r="C66">
            <v>36.5</v>
          </cell>
          <cell r="D66">
            <v>50.5</v>
          </cell>
          <cell r="E66">
            <v>66.8</v>
          </cell>
          <cell r="F66">
            <v>86.2</v>
          </cell>
          <cell r="G66">
            <v>107.7</v>
          </cell>
          <cell r="H66">
            <v>0.32271662859300854</v>
          </cell>
        </row>
        <row r="67">
          <cell r="B67">
            <v>409.88000000000005</v>
          </cell>
          <cell r="C67">
            <v>529.29999999999995</v>
          </cell>
          <cell r="D67">
            <v>710.8</v>
          </cell>
          <cell r="E67">
            <v>914.42</v>
          </cell>
          <cell r="F67">
            <v>1134.48</v>
          </cell>
          <cell r="G67">
            <v>1363.4</v>
          </cell>
          <cell r="H67">
            <v>0.27172530320923505</v>
          </cell>
        </row>
        <row r="69">
          <cell r="J69" t="str">
            <v>2007-12E CAGRs</v>
          </cell>
        </row>
        <row r="70">
          <cell r="J70" t="str">
            <v>Americas</v>
          </cell>
          <cell r="K70">
            <v>0.25711503805619373</v>
          </cell>
        </row>
        <row r="71">
          <cell r="J71" t="str">
            <v>EMEA</v>
          </cell>
          <cell r="K71">
            <v>0.29011641623541728</v>
          </cell>
        </row>
        <row r="72">
          <cell r="J72" t="str">
            <v>Asia/Pacific</v>
          </cell>
          <cell r="K72">
            <v>0.32271662859300854</v>
          </cell>
        </row>
        <row r="73">
          <cell r="J73" t="str">
            <v>Total</v>
          </cell>
          <cell r="K73">
            <v>0.27172530320923505</v>
          </cell>
        </row>
      </sheetData>
      <sheetData sheetId="10"/>
      <sheetData sheetId="11"/>
      <sheetData sheetId="12"/>
      <sheetData sheetId="13"/>
      <sheetData sheetId="14">
        <row r="1">
          <cell r="A1" t="str">
            <v>Merrill Lynch, 2008.09.25</v>
          </cell>
        </row>
        <row r="2">
          <cell r="A2" t="str">
            <v>Global wireless matrix, Q2 2008, Page 190</v>
          </cell>
        </row>
        <row r="4">
          <cell r="A4" t="str">
            <v>US</v>
          </cell>
          <cell r="B4">
            <v>2006</v>
          </cell>
          <cell r="C4">
            <v>2007</v>
          </cell>
          <cell r="D4">
            <v>2008</v>
          </cell>
          <cell r="E4">
            <v>2009</v>
          </cell>
          <cell r="F4">
            <v>2010</v>
          </cell>
        </row>
        <row r="6">
          <cell r="A6" t="str">
            <v>Population (mn)</v>
          </cell>
          <cell r="B6">
            <v>299.10000000000002</v>
          </cell>
          <cell r="C6">
            <v>302</v>
          </cell>
          <cell r="D6">
            <v>305</v>
          </cell>
          <cell r="E6">
            <v>308</v>
          </cell>
          <cell r="F6">
            <v>311.10000000000002</v>
          </cell>
        </row>
        <row r="7">
          <cell r="A7" t="str">
            <v>Wireless Penetration</v>
          </cell>
          <cell r="B7">
            <v>0.77900000000000003</v>
          </cell>
          <cell r="C7">
            <v>0.84</v>
          </cell>
          <cell r="D7">
            <v>0.89400000000000002</v>
          </cell>
          <cell r="E7">
            <v>0.93300000000000005</v>
          </cell>
          <cell r="F7">
            <v>0.96499999999999997</v>
          </cell>
        </row>
        <row r="8">
          <cell r="A8" t="str">
            <v>Increase</v>
          </cell>
          <cell r="B8">
            <v>7.8E-2</v>
          </cell>
          <cell r="C8">
            <v>0.06</v>
          </cell>
          <cell r="D8">
            <v>3.3000000000000002E-2</v>
          </cell>
          <cell r="E8">
            <v>0.03</v>
          </cell>
          <cell r="F8">
            <v>2.7E-2</v>
          </cell>
        </row>
        <row r="10">
          <cell r="A10" t="str">
            <v>Subscribers (MMs)</v>
          </cell>
        </row>
        <row r="11">
          <cell r="B11">
            <v>2006</v>
          </cell>
          <cell r="C11">
            <v>2007</v>
          </cell>
          <cell r="D11">
            <v>2008</v>
          </cell>
          <cell r="E11">
            <v>2009</v>
          </cell>
          <cell r="F11">
            <v>2010</v>
          </cell>
        </row>
        <row r="12">
          <cell r="A12" t="str">
            <v>Verizon Wireless</v>
          </cell>
          <cell r="B12">
            <v>59.052</v>
          </cell>
          <cell r="C12">
            <v>65.706999999999994</v>
          </cell>
          <cell r="D12">
            <v>72.656999999999996</v>
          </cell>
          <cell r="E12">
            <v>88.507000000000005</v>
          </cell>
          <cell r="F12">
            <v>91.007000000000005</v>
          </cell>
        </row>
        <row r="13">
          <cell r="A13" t="str">
            <v>AT&amp;T Mobility</v>
          </cell>
          <cell r="B13">
            <v>60.962000000000003</v>
          </cell>
          <cell r="C13">
            <v>70.052000000000007</v>
          </cell>
          <cell r="D13">
            <v>76.152000000000001</v>
          </cell>
          <cell r="E13">
            <v>81.152000000000001</v>
          </cell>
          <cell r="F13">
            <v>84.652000000000001</v>
          </cell>
        </row>
        <row r="14">
          <cell r="A14" t="str">
            <v>T-Mobile USA</v>
          </cell>
          <cell r="B14">
            <v>25.041</v>
          </cell>
          <cell r="C14">
            <v>28.684999999999999</v>
          </cell>
          <cell r="D14">
            <v>32.835000000000001</v>
          </cell>
          <cell r="E14">
            <v>35.5</v>
          </cell>
          <cell r="F14">
            <v>37.710999999999999</v>
          </cell>
        </row>
        <row r="15">
          <cell r="A15" t="str">
            <v>Sprint</v>
          </cell>
          <cell r="B15">
            <v>41.805</v>
          </cell>
          <cell r="C15">
            <v>40.747999999999998</v>
          </cell>
          <cell r="D15">
            <v>37.548000000000002</v>
          </cell>
          <cell r="E15">
            <v>36.798000000000002</v>
          </cell>
          <cell r="F15">
            <v>37.298000000000002</v>
          </cell>
        </row>
        <row r="16">
          <cell r="A16" t="str">
            <v>Others</v>
          </cell>
          <cell r="B16">
            <v>46.180999999999997</v>
          </cell>
          <cell r="C16">
            <v>50.203000000000003</v>
          </cell>
          <cell r="D16">
            <v>53.671999999999997</v>
          </cell>
          <cell r="E16">
            <v>48.112000000000002</v>
          </cell>
          <cell r="F16">
            <v>53.545000000000002</v>
          </cell>
        </row>
        <row r="17">
          <cell r="B17">
            <v>233.041</v>
          </cell>
          <cell r="C17">
            <v>255.39500000000001</v>
          </cell>
          <cell r="D17">
            <v>272.86400000000003</v>
          </cell>
          <cell r="E17">
            <v>290.06900000000002</v>
          </cell>
          <cell r="F17">
            <v>304.21300000000002</v>
          </cell>
        </row>
        <row r="18">
          <cell r="A18" t="str">
            <v>YoY growth</v>
          </cell>
          <cell r="B18">
            <v>0.121</v>
          </cell>
          <cell r="C18">
            <v>9.6000000000000002E-2</v>
          </cell>
          <cell r="D18">
            <v>6.8000000000000005E-2</v>
          </cell>
          <cell r="E18">
            <v>6.3E-2</v>
          </cell>
          <cell r="F18">
            <v>4.9000000000000002E-2</v>
          </cell>
        </row>
        <row r="20">
          <cell r="A20" t="str">
            <v>Subscriber market share (%)</v>
          </cell>
        </row>
        <row r="21">
          <cell r="B21">
            <v>2006</v>
          </cell>
          <cell r="C21">
            <v>2007</v>
          </cell>
          <cell r="D21">
            <v>2008</v>
          </cell>
          <cell r="E21">
            <v>2009</v>
          </cell>
          <cell r="F21">
            <v>2010</v>
          </cell>
        </row>
        <row r="22">
          <cell r="A22" t="str">
            <v>Verizon Wireless</v>
          </cell>
          <cell r="B22">
            <v>0.25339747083131292</v>
          </cell>
          <cell r="C22">
            <v>0.25727598425967613</v>
          </cell>
          <cell r="D22">
            <v>0.26627550721238413</v>
          </cell>
          <cell r="E22">
            <v>0.30512395326629183</v>
          </cell>
          <cell r="F22">
            <v>0.29915552589797278</v>
          </cell>
        </row>
        <row r="23">
          <cell r="A23" t="str">
            <v>AT&amp;T Mobility</v>
          </cell>
          <cell r="B23">
            <v>0.2615934535124721</v>
          </cell>
          <cell r="C23">
            <v>0.27428884668846298</v>
          </cell>
          <cell r="D23">
            <v>0.27908408584496303</v>
          </cell>
          <cell r="E23">
            <v>0.27976791728864508</v>
          </cell>
          <cell r="F23">
            <v>0.27826555735619452</v>
          </cell>
        </row>
        <row r="24">
          <cell r="A24" t="str">
            <v>T-Mobile USA</v>
          </cell>
          <cell r="B24">
            <v>0.10745319493136402</v>
          </cell>
          <cell r="C24">
            <v>0.11231621605747959</v>
          </cell>
          <cell r="D24">
            <v>0.12033467221766153</v>
          </cell>
          <cell r="E24">
            <v>0.12238467399136067</v>
          </cell>
          <cell r="F24">
            <v>0.12396248681022834</v>
          </cell>
        </row>
        <row r="25">
          <cell r="A25" t="str">
            <v>Sprint</v>
          </cell>
          <cell r="B25">
            <v>0.17938903454756888</v>
          </cell>
          <cell r="C25">
            <v>0.15954893400418957</v>
          </cell>
          <cell r="D25">
            <v>0.13760701301747388</v>
          </cell>
          <cell r="E25">
            <v>0.12685947136715747</v>
          </cell>
          <cell r="F25">
            <v>0.12260488539280044</v>
          </cell>
        </row>
        <row r="26">
          <cell r="A26" t="str">
            <v>Others</v>
          </cell>
          <cell r="B26">
            <v>0.19816684617728211</v>
          </cell>
          <cell r="C26">
            <v>0.19657001899019166</v>
          </cell>
          <cell r="D26">
            <v>0.19669872170751726</v>
          </cell>
          <cell r="E26">
            <v>0.16586398408654493</v>
          </cell>
          <cell r="F26">
            <v>0.17601154454280388</v>
          </cell>
        </row>
        <row r="28">
          <cell r="A28">
            <v>1000</v>
          </cell>
        </row>
        <row r="29">
          <cell r="A29" t="str">
            <v>Net subscriber adds (000)</v>
          </cell>
          <cell r="B29">
            <v>2006</v>
          </cell>
          <cell r="C29">
            <v>2007</v>
          </cell>
          <cell r="D29">
            <v>2008</v>
          </cell>
          <cell r="E29">
            <v>2009</v>
          </cell>
          <cell r="F29">
            <v>2010</v>
          </cell>
        </row>
        <row r="30">
          <cell r="A30" t="str">
            <v>Verizon Wireless</v>
          </cell>
          <cell r="B30">
            <v>7.7149999999999999</v>
          </cell>
          <cell r="C30">
            <v>6.6550000000000002</v>
          </cell>
          <cell r="D30">
            <v>6.25</v>
          </cell>
          <cell r="E30">
            <v>4.3499999999999996</v>
          </cell>
          <cell r="F30">
            <v>2.5</v>
          </cell>
        </row>
        <row r="31">
          <cell r="A31" t="str">
            <v>AT&amp;T Mobility</v>
          </cell>
          <cell r="B31">
            <v>6.8179999999999996</v>
          </cell>
          <cell r="C31">
            <v>7.3150000000000004</v>
          </cell>
          <cell r="D31">
            <v>6.1</v>
          </cell>
          <cell r="E31">
            <v>5</v>
          </cell>
          <cell r="F31">
            <v>3.5</v>
          </cell>
        </row>
        <row r="32">
          <cell r="A32" t="str">
            <v>T-Mobile USA</v>
          </cell>
          <cell r="B32">
            <v>3.351</v>
          </cell>
          <cell r="C32">
            <v>3.6440000000000001</v>
          </cell>
          <cell r="D32">
            <v>3.15</v>
          </cell>
          <cell r="E32">
            <v>2.665</v>
          </cell>
          <cell r="F32">
            <v>2.2109999999999999</v>
          </cell>
        </row>
        <row r="33">
          <cell r="A33" t="str">
            <v>Sprint</v>
          </cell>
          <cell r="B33">
            <v>4.8280000000000003</v>
          </cell>
          <cell r="C33">
            <v>-1.0569999999999999</v>
          </cell>
          <cell r="D33">
            <v>-3.2</v>
          </cell>
          <cell r="E33">
            <v>-0.75</v>
          </cell>
          <cell r="F33">
            <v>0.5</v>
          </cell>
        </row>
        <row r="34">
          <cell r="A34" t="str">
            <v>Others</v>
          </cell>
          <cell r="B34">
            <v>2.4329999999999998</v>
          </cell>
          <cell r="C34">
            <v>4.9340000000000002</v>
          </cell>
          <cell r="D34">
            <v>5.1689999999999996</v>
          </cell>
          <cell r="E34">
            <v>5.94</v>
          </cell>
          <cell r="F34">
            <v>5.4340000000000002</v>
          </cell>
        </row>
        <row r="35">
          <cell r="B35">
            <v>25.145</v>
          </cell>
          <cell r="C35">
            <v>21.491</v>
          </cell>
          <cell r="D35">
            <v>17.469000000000001</v>
          </cell>
          <cell r="E35">
            <v>17.204999999999998</v>
          </cell>
          <cell r="F35">
            <v>14.144</v>
          </cell>
        </row>
        <row r="36">
          <cell r="A36" t="str">
            <v>YoY growth</v>
          </cell>
          <cell r="B36">
            <v>-2.4E-2</v>
          </cell>
          <cell r="C36">
            <v>-0.14499999999999999</v>
          </cell>
          <cell r="D36">
            <v>-0.187</v>
          </cell>
          <cell r="E36">
            <v>-1.4999999999999999E-2</v>
          </cell>
          <cell r="F36">
            <v>-0.17799999999999999</v>
          </cell>
        </row>
        <row r="39">
          <cell r="A39" t="str">
            <v>Market share of net adds</v>
          </cell>
          <cell r="B39">
            <v>2006</v>
          </cell>
          <cell r="C39">
            <v>2007</v>
          </cell>
          <cell r="D39">
            <v>2008</v>
          </cell>
          <cell r="E39">
            <v>2009</v>
          </cell>
          <cell r="F39">
            <v>2010</v>
          </cell>
        </row>
        <row r="40">
          <cell r="A40" t="str">
            <v>Verizon Wireless</v>
          </cell>
          <cell r="B40">
            <v>0.30682044143965004</v>
          </cell>
          <cell r="C40">
            <v>0.30966451072541995</v>
          </cell>
          <cell r="D40">
            <v>0.35777663289255252</v>
          </cell>
          <cell r="E40">
            <v>0.25283347863993028</v>
          </cell>
          <cell r="F40">
            <v>0.17675339366515838</v>
          </cell>
        </row>
        <row r="41">
          <cell r="A41" t="str">
            <v>AT&amp;T Mobility</v>
          </cell>
          <cell r="B41">
            <v>0.27114734539669916</v>
          </cell>
          <cell r="C41">
            <v>0.3403750407147178</v>
          </cell>
          <cell r="D41">
            <v>0.3491899937031312</v>
          </cell>
          <cell r="E41">
            <v>0.29061319383900031</v>
          </cell>
          <cell r="F41">
            <v>0.24745475113122173</v>
          </cell>
        </row>
        <row r="42">
          <cell r="A42" t="str">
            <v>T-Mobile USA</v>
          </cell>
          <cell r="B42">
            <v>0.13326705110359913</v>
          </cell>
          <cell r="C42">
            <v>0.16955935042575962</v>
          </cell>
          <cell r="D42">
            <v>0.18031942297784645</v>
          </cell>
          <cell r="E42">
            <v>0.15489683231618717</v>
          </cell>
          <cell r="F42">
            <v>0.15632070135746606</v>
          </cell>
        </row>
        <row r="43">
          <cell r="A43" t="str">
            <v>Sprint</v>
          </cell>
          <cell r="B43">
            <v>0.1920063630940545</v>
          </cell>
          <cell r="C43">
            <v>-4.9183379088920939E-2</v>
          </cell>
          <cell r="D43">
            <v>-0.18318163604098689</v>
          </cell>
          <cell r="E43">
            <v>-4.3591979075850044E-2</v>
          </cell>
          <cell r="F43">
            <v>3.5350678733031674E-2</v>
          </cell>
        </row>
        <row r="44">
          <cell r="A44" t="str">
            <v>Others</v>
          </cell>
          <cell r="B44">
            <v>9.6758798965997206E-2</v>
          </cell>
          <cell r="C44">
            <v>0.22958447722302361</v>
          </cell>
          <cell r="D44">
            <v>0.29589558646745662</v>
          </cell>
          <cell r="E44">
            <v>0.34524847428073241</v>
          </cell>
          <cell r="F44">
            <v>0.38419117647058826</v>
          </cell>
        </row>
        <row r="50">
          <cell r="H50" t="str">
            <v>Subscriber CAGR 2007-2010</v>
          </cell>
        </row>
        <row r="51">
          <cell r="H51" t="str">
            <v>Verizon Wireless</v>
          </cell>
          <cell r="I51">
            <v>0.11469072227119881</v>
          </cell>
        </row>
        <row r="52">
          <cell r="H52" t="str">
            <v>AT&amp;T Mobility</v>
          </cell>
          <cell r="I52">
            <v>6.5137221346260876E-2</v>
          </cell>
        </row>
        <row r="53">
          <cell r="H53" t="str">
            <v>T-Mobile USA</v>
          </cell>
          <cell r="I53">
            <v>9.5479861560993529E-2</v>
          </cell>
        </row>
        <row r="54">
          <cell r="H54" t="str">
            <v>Sprint</v>
          </cell>
          <cell r="I54">
            <v>-2.9058459154990057E-2</v>
          </cell>
        </row>
        <row r="55">
          <cell r="H55" t="str">
            <v>Others</v>
          </cell>
          <cell r="I55">
            <v>2.1714956482499881E-2</v>
          </cell>
        </row>
        <row r="56">
          <cell r="H56" t="str">
            <v>Total</v>
          </cell>
          <cell r="I56">
            <v>6.0038875615728626E-2</v>
          </cell>
        </row>
        <row r="64">
          <cell r="A64" t="str">
            <v>Churn</v>
          </cell>
        </row>
        <row r="65">
          <cell r="B65">
            <v>2006</v>
          </cell>
          <cell r="C65">
            <v>2007</v>
          </cell>
          <cell r="D65">
            <v>2008</v>
          </cell>
          <cell r="E65">
            <v>2009</v>
          </cell>
          <cell r="F65">
            <v>2010</v>
          </cell>
        </row>
        <row r="66">
          <cell r="A66" t="str">
            <v>Verizon Wireless</v>
          </cell>
          <cell r="B66">
            <v>1.2E-2</v>
          </cell>
          <cell r="C66">
            <v>1.2E-2</v>
          </cell>
          <cell r="D66">
            <v>1.2999999999999999E-2</v>
          </cell>
          <cell r="E66">
            <v>1.4E-2</v>
          </cell>
          <cell r="F66">
            <v>1.4E-2</v>
          </cell>
        </row>
        <row r="67">
          <cell r="A67" t="str">
            <v>AT&amp;T Mobility</v>
          </cell>
          <cell r="B67">
            <v>1.7999999999999999E-2</v>
          </cell>
          <cell r="C67">
            <v>1.7000000000000001E-2</v>
          </cell>
          <cell r="D67">
            <v>1.6E-2</v>
          </cell>
          <cell r="E67">
            <v>1.6E-2</v>
          </cell>
          <cell r="F67">
            <v>1.7000000000000001E-2</v>
          </cell>
        </row>
        <row r="68">
          <cell r="A68" t="str">
            <v>T-Mobile USA</v>
          </cell>
          <cell r="B68">
            <v>2.9000000000000001E-2</v>
          </cell>
          <cell r="C68">
            <v>2.8000000000000001E-2</v>
          </cell>
          <cell r="D68">
            <v>2.7E-2</v>
          </cell>
          <cell r="E68">
            <v>2.5999999999999999E-2</v>
          </cell>
          <cell r="F68">
            <v>2.5000000000000001E-2</v>
          </cell>
        </row>
        <row r="69">
          <cell r="A69" t="str">
            <v>Sprint</v>
          </cell>
          <cell r="B69">
            <v>2.3E-2</v>
          </cell>
          <cell r="C69">
            <v>2.1999999999999999E-2</v>
          </cell>
          <cell r="D69">
            <v>2.1000000000000001E-2</v>
          </cell>
          <cell r="E69">
            <v>1.9E-2</v>
          </cell>
          <cell r="F69">
            <v>1.7999999999999999E-2</v>
          </cell>
        </row>
      </sheetData>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sheetName val="Loyal &amp; Fast Growing  (2)"/>
      <sheetName val="CapTable"/>
      <sheetName val="Captable 2"/>
      <sheetName val="Roadshow"/>
      <sheetName val="Loyal &amp; Fast Growing "/>
      <sheetName val="Univque visitors vs peers"/>
      <sheetName val="Summary "/>
      <sheetName val="Rapid viral growth"/>
      <sheetName val="user data"/>
      <sheetName val="industry dynamics"/>
      <sheetName val="Sheet3"/>
      <sheetName val="graph of user growth"/>
      <sheetName val="Mobile search &amp; ads"/>
      <sheetName val="usage rates"/>
      <sheetName val="secular industry"/>
      <sheetName val="Sheet2"/>
      <sheetName val="Mobile Music"/>
      <sheetName val="Operator share"/>
      <sheetName val="Mobile TV &amp; Video"/>
      <sheetName val="Mobile SNS"/>
      <sheetName val="Mobile LBS"/>
      <sheetName val="Mobile data apps"/>
      <sheetName val="Mobile enterprise"/>
      <sheetName val="Mobile gaming"/>
      <sheetName val="Converged dev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eMarketer</v>
          </cell>
        </row>
        <row r="3">
          <cell r="A3" t="str">
            <v>Mobile Social Networking Users</v>
          </cell>
        </row>
        <row r="7">
          <cell r="B7">
            <v>2007</v>
          </cell>
          <cell r="C7">
            <v>2008</v>
          </cell>
          <cell r="D7">
            <v>2009</v>
          </cell>
          <cell r="E7">
            <v>2010</v>
          </cell>
          <cell r="F7">
            <v>2011</v>
          </cell>
          <cell r="G7">
            <v>2012</v>
          </cell>
        </row>
        <row r="8">
          <cell r="A8" t="str">
            <v>Mobile Internet users</v>
          </cell>
          <cell r="B8">
            <v>82</v>
          </cell>
          <cell r="C8">
            <v>406.49</v>
          </cell>
          <cell r="D8">
            <v>596</v>
          </cell>
          <cell r="E8">
            <v>757</v>
          </cell>
          <cell r="F8">
            <v>982</v>
          </cell>
          <cell r="G8">
            <v>1228</v>
          </cell>
          <cell r="H8">
            <v>0.71821261346718424</v>
          </cell>
        </row>
      </sheetData>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NKY"/>
      <sheetName val="#REF"/>
      <sheetName val="Bull Spread with Calls"/>
    </sheet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snloffice"/>
      <sheetName val="Simple Model - Case 1"/>
      <sheetName val="Simple Model - Case 2"/>
      <sheetName val="Simple Model - Case 3"/>
      <sheetName val="_CIQHiddenCacheSheet"/>
      <sheetName val="Historical Financials"/>
      <sheetName val="Guidance Analysis"/>
      <sheetName val="D&amp;A Model - Case 1"/>
      <sheetName val="D&amp;A Model - Case 2"/>
      <sheetName val="D&amp;A Model - Case 3"/>
      <sheetName val="Chinese Advertiser Impact"/>
      <sheetName val="Credibility Analysis"/>
      <sheetName val="Guidance Review"/>
      <sheetName val="Scenario Analysis"/>
      <sheetName val="Sheet1"/>
    </sheetNames>
    <sheetDataSet>
      <sheetData sheetId="0"/>
      <sheetData sheetId="1"/>
      <sheetData sheetId="2"/>
      <sheetData sheetId="3"/>
      <sheetData sheetId="4"/>
      <sheetData sheetId="5">
        <row r="11">
          <cell r="BY11">
            <v>0.29599914037035702</v>
          </cell>
          <cell r="BZ11">
            <v>0.21766128690043418</v>
          </cell>
          <cell r="CA11">
            <v>0.35273247562990018</v>
          </cell>
          <cell r="CB11">
            <v>3.9320268975400419E-2</v>
          </cell>
        </row>
      </sheetData>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CA5-4766-45E1-B9C2-33DC0F35E8DF}">
  <dimension ref="A1"/>
  <sheetViews>
    <sheetView workbookViewId="0"/>
  </sheetViews>
  <sheetFormatPr defaultRowHeight="11.25" x14ac:dyDescent="0.2"/>
  <sheetData>
    <row r="1" spans="1:1" x14ac:dyDescent="0.2">
      <c r="A1" t="s">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CAC3-FE0A-457D-BF29-1C95FB668CB3}">
  <dimension ref="A1:ED1"/>
  <sheetViews>
    <sheetView workbookViewId="0"/>
  </sheetViews>
  <sheetFormatPr defaultRowHeight="11.25" x14ac:dyDescent="0.2"/>
  <sheetData>
    <row r="1" spans="1:134" x14ac:dyDescent="0.2">
      <c r="A1">
        <v>134</v>
      </c>
      <c r="B1" t="s">
        <v>594</v>
      </c>
      <c r="C1" t="s">
        <v>595</v>
      </c>
      <c r="D1" t="s">
        <v>596</v>
      </c>
      <c r="E1" t="s">
        <v>597</v>
      </c>
      <c r="F1" t="s">
        <v>598</v>
      </c>
      <c r="G1" t="s">
        <v>599</v>
      </c>
      <c r="H1" t="s">
        <v>600</v>
      </c>
      <c r="I1" t="s">
        <v>601</v>
      </c>
      <c r="J1" t="s">
        <v>602</v>
      </c>
      <c r="K1" t="s">
        <v>603</v>
      </c>
      <c r="L1" t="s">
        <v>604</v>
      </c>
      <c r="M1" t="s">
        <v>605</v>
      </c>
      <c r="N1" t="s">
        <v>606</v>
      </c>
      <c r="O1" t="s">
        <v>607</v>
      </c>
      <c r="P1" t="s">
        <v>608</v>
      </c>
      <c r="Q1" t="s">
        <v>609</v>
      </c>
      <c r="R1" t="s">
        <v>610</v>
      </c>
      <c r="S1" t="s">
        <v>611</v>
      </c>
      <c r="T1" t="s">
        <v>612</v>
      </c>
      <c r="U1" t="s">
        <v>613</v>
      </c>
      <c r="V1" t="s">
        <v>614</v>
      </c>
      <c r="W1" t="s">
        <v>615</v>
      </c>
      <c r="X1" t="s">
        <v>616</v>
      </c>
      <c r="Y1" t="s">
        <v>617</v>
      </c>
      <c r="Z1" t="s">
        <v>618</v>
      </c>
      <c r="AA1" t="s">
        <v>619</v>
      </c>
      <c r="AB1" t="s">
        <v>620</v>
      </c>
      <c r="AC1" t="s">
        <v>621</v>
      </c>
      <c r="AD1" t="s">
        <v>622</v>
      </c>
      <c r="AE1" t="s">
        <v>623</v>
      </c>
      <c r="AF1" t="s">
        <v>624</v>
      </c>
      <c r="AG1" t="s">
        <v>625</v>
      </c>
      <c r="AH1" t="s">
        <v>626</v>
      </c>
      <c r="AI1" t="s">
        <v>627</v>
      </c>
      <c r="AJ1" t="s">
        <v>628</v>
      </c>
      <c r="AK1" t="s">
        <v>629</v>
      </c>
      <c r="AL1" t="s">
        <v>630</v>
      </c>
      <c r="AM1" t="s">
        <v>631</v>
      </c>
      <c r="AN1" t="s">
        <v>632</v>
      </c>
      <c r="AO1" t="s">
        <v>633</v>
      </c>
      <c r="AP1" t="s">
        <v>634</v>
      </c>
      <c r="AQ1" t="s">
        <v>635</v>
      </c>
      <c r="AR1" t="s">
        <v>636</v>
      </c>
      <c r="AS1" t="s">
        <v>637</v>
      </c>
      <c r="AT1" t="s">
        <v>638</v>
      </c>
      <c r="AU1" t="s">
        <v>639</v>
      </c>
      <c r="AV1" t="s">
        <v>640</v>
      </c>
      <c r="AW1" t="s">
        <v>641</v>
      </c>
      <c r="AX1" t="s">
        <v>642</v>
      </c>
      <c r="AY1" t="s">
        <v>643</v>
      </c>
      <c r="AZ1" t="s">
        <v>644</v>
      </c>
      <c r="BA1" t="s">
        <v>645</v>
      </c>
      <c r="BB1" t="s">
        <v>646</v>
      </c>
      <c r="BC1" t="s">
        <v>647</v>
      </c>
      <c r="BD1" t="s">
        <v>648</v>
      </c>
      <c r="BE1" t="s">
        <v>649</v>
      </c>
      <c r="BF1" t="s">
        <v>650</v>
      </c>
      <c r="BG1" t="s">
        <v>651</v>
      </c>
      <c r="BH1" t="s">
        <v>652</v>
      </c>
      <c r="BI1" t="s">
        <v>653</v>
      </c>
      <c r="BJ1" t="s">
        <v>654</v>
      </c>
      <c r="BK1" t="s">
        <v>655</v>
      </c>
      <c r="BL1" t="s">
        <v>656</v>
      </c>
      <c r="BM1" t="s">
        <v>657</v>
      </c>
      <c r="BN1" t="s">
        <v>658</v>
      </c>
      <c r="BO1" t="s">
        <v>659</v>
      </c>
      <c r="BP1" t="s">
        <v>660</v>
      </c>
      <c r="BQ1" t="s">
        <v>661</v>
      </c>
      <c r="BR1" t="s">
        <v>662</v>
      </c>
      <c r="BS1" t="s">
        <v>663</v>
      </c>
      <c r="BT1" t="s">
        <v>664</v>
      </c>
      <c r="BU1" t="s">
        <v>665</v>
      </c>
      <c r="BV1" t="s">
        <v>666</v>
      </c>
      <c r="BW1" t="s">
        <v>667</v>
      </c>
      <c r="BX1" t="s">
        <v>668</v>
      </c>
      <c r="BY1" t="s">
        <v>669</v>
      </c>
      <c r="BZ1" t="s">
        <v>670</v>
      </c>
      <c r="CA1" t="s">
        <v>671</v>
      </c>
      <c r="CB1" t="s">
        <v>672</v>
      </c>
      <c r="CC1" t="s">
        <v>673</v>
      </c>
      <c r="CD1" t="s">
        <v>674</v>
      </c>
      <c r="CE1" t="s">
        <v>675</v>
      </c>
      <c r="CF1" t="s">
        <v>676</v>
      </c>
      <c r="CG1" t="s">
        <v>677</v>
      </c>
      <c r="CH1" t="s">
        <v>678</v>
      </c>
      <c r="CI1" t="s">
        <v>679</v>
      </c>
      <c r="CJ1" t="s">
        <v>680</v>
      </c>
      <c r="CK1" t="s">
        <v>681</v>
      </c>
      <c r="CL1" t="s">
        <v>682</v>
      </c>
      <c r="CM1" t="s">
        <v>683</v>
      </c>
      <c r="CN1" t="s">
        <v>684</v>
      </c>
      <c r="CO1" t="s">
        <v>685</v>
      </c>
      <c r="CP1" t="s">
        <v>686</v>
      </c>
      <c r="CQ1" t="s">
        <v>687</v>
      </c>
      <c r="CR1" t="s">
        <v>688</v>
      </c>
      <c r="CS1" t="s">
        <v>689</v>
      </c>
      <c r="CT1" t="s">
        <v>690</v>
      </c>
      <c r="CU1" t="s">
        <v>691</v>
      </c>
      <c r="CV1" t="s">
        <v>692</v>
      </c>
      <c r="CW1" t="s">
        <v>693</v>
      </c>
      <c r="CX1" t="s">
        <v>694</v>
      </c>
      <c r="CY1" t="s">
        <v>695</v>
      </c>
      <c r="CZ1" t="s">
        <v>696</v>
      </c>
      <c r="DA1" t="s">
        <v>697</v>
      </c>
      <c r="DB1" t="s">
        <v>698</v>
      </c>
      <c r="DC1" t="s">
        <v>699</v>
      </c>
      <c r="DD1" t="s">
        <v>700</v>
      </c>
      <c r="DE1" t="s">
        <v>701</v>
      </c>
      <c r="DF1" t="s">
        <v>702</v>
      </c>
      <c r="DG1" t="s">
        <v>703</v>
      </c>
      <c r="DH1" t="s">
        <v>704</v>
      </c>
      <c r="DI1" t="s">
        <v>705</v>
      </c>
      <c r="DJ1" t="s">
        <v>706</v>
      </c>
      <c r="DK1" t="s">
        <v>707</v>
      </c>
      <c r="DL1" t="s">
        <v>708</v>
      </c>
      <c r="DM1" t="s">
        <v>709</v>
      </c>
      <c r="DN1" t="s">
        <v>710</v>
      </c>
      <c r="DO1" t="s">
        <v>711</v>
      </c>
      <c r="DP1" t="s">
        <v>712</v>
      </c>
      <c r="DQ1" t="s">
        <v>713</v>
      </c>
      <c r="DR1" t="s">
        <v>714</v>
      </c>
      <c r="DS1" t="s">
        <v>715</v>
      </c>
      <c r="DT1" t="s">
        <v>716</v>
      </c>
      <c r="DU1" t="s">
        <v>717</v>
      </c>
      <c r="DV1" t="s">
        <v>718</v>
      </c>
      <c r="DW1" t="s">
        <v>719</v>
      </c>
      <c r="DX1" t="s">
        <v>720</v>
      </c>
      <c r="DY1" t="s">
        <v>588</v>
      </c>
      <c r="DZ1" t="s">
        <v>589</v>
      </c>
      <c r="EA1" t="s">
        <v>590</v>
      </c>
      <c r="EB1" t="s">
        <v>591</v>
      </c>
      <c r="EC1" t="s">
        <v>592</v>
      </c>
      <c r="ED1"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70A4-89FA-4C20-9F38-0085F846CF74}">
  <sheetPr>
    <pageSetUpPr fitToPage="1"/>
  </sheetPr>
  <dimension ref="B2:AH109"/>
  <sheetViews>
    <sheetView tabSelected="1" view="pageBreakPreview" zoomScaleNormal="100" zoomScaleSheetLayoutView="100" workbookViewId="0">
      <selection activeCell="L9" sqref="L9"/>
    </sheetView>
  </sheetViews>
  <sheetFormatPr defaultColWidth="10.6640625" defaultRowHeight="11.25" outlineLevelRow="1" x14ac:dyDescent="0.2"/>
  <cols>
    <col min="1" max="1" width="4.33203125" style="2" customWidth="1"/>
    <col min="2" max="2" width="25.83203125" style="2" customWidth="1"/>
    <col min="3" max="3" width="3.1640625" style="2" customWidth="1"/>
    <col min="4" max="6" width="10.33203125" style="2" customWidth="1"/>
    <col min="7" max="7" width="10.83203125" style="2" customWidth="1"/>
    <col min="8" max="21" width="10.33203125" style="2" customWidth="1"/>
    <col min="22" max="22" width="2.83203125" style="2" customWidth="1"/>
    <col min="23" max="24" width="10.33203125" style="2" customWidth="1"/>
    <col min="25" max="16384" width="10.6640625" style="2"/>
  </cols>
  <sheetData>
    <row r="2" spans="2:27" x14ac:dyDescent="0.2">
      <c r="B2" s="1" t="s">
        <v>327</v>
      </c>
      <c r="L2" s="3"/>
      <c r="M2" s="3"/>
      <c r="N2" s="3"/>
      <c r="O2" s="3"/>
      <c r="X2" s="4">
        <v>45657</v>
      </c>
    </row>
    <row r="3" spans="2:27" s="6" customFormat="1" x14ac:dyDescent="0.2">
      <c r="B3" s="5" t="s">
        <v>328</v>
      </c>
    </row>
    <row r="4" spans="2:27" x14ac:dyDescent="0.2">
      <c r="B4" s="7" t="s">
        <v>275</v>
      </c>
      <c r="D4" s="234"/>
      <c r="E4" s="234"/>
      <c r="F4" s="234"/>
      <c r="G4" s="234"/>
      <c r="H4" s="234"/>
      <c r="I4" s="234"/>
      <c r="J4" s="234"/>
      <c r="K4" s="234"/>
      <c r="L4" s="234"/>
      <c r="M4" s="234"/>
      <c r="N4" s="234"/>
      <c r="O4" s="234"/>
      <c r="P4" s="234"/>
      <c r="Q4" s="234"/>
      <c r="R4" s="234"/>
      <c r="S4" s="234"/>
      <c r="T4" s="234"/>
      <c r="U4" s="234"/>
      <c r="V4" s="234"/>
      <c r="W4" s="234"/>
      <c r="X4" s="234"/>
    </row>
    <row r="5" spans="2:27" x14ac:dyDescent="0.2">
      <c r="D5" s="232" t="s">
        <v>278</v>
      </c>
      <c r="E5" s="233"/>
      <c r="F5" s="233"/>
      <c r="G5" s="233"/>
      <c r="H5" s="233"/>
      <c r="I5" s="233"/>
      <c r="J5" s="233"/>
      <c r="K5" s="233"/>
      <c r="L5" s="233"/>
      <c r="M5" s="233"/>
      <c r="N5" s="233"/>
      <c r="O5" s="233"/>
      <c r="P5" s="233"/>
      <c r="Q5" s="233"/>
      <c r="R5" s="233"/>
      <c r="S5" s="233"/>
      <c r="T5" s="233"/>
      <c r="U5" s="233"/>
      <c r="W5" s="232" t="s">
        <v>301</v>
      </c>
      <c r="X5" s="233"/>
    </row>
    <row r="6" spans="2:27" ht="13.5" x14ac:dyDescent="0.35">
      <c r="D6" s="9" t="s">
        <v>4</v>
      </c>
      <c r="E6" s="9" t="s">
        <v>5</v>
      </c>
      <c r="F6" s="9" t="s">
        <v>6</v>
      </c>
      <c r="G6" s="9" t="s">
        <v>321</v>
      </c>
      <c r="H6" s="9" t="s">
        <v>306</v>
      </c>
      <c r="I6" s="9" t="s">
        <v>357</v>
      </c>
      <c r="J6" s="9" t="s">
        <v>7</v>
      </c>
      <c r="K6" s="9" t="s">
        <v>8</v>
      </c>
      <c r="L6" s="9" t="s">
        <v>9</v>
      </c>
      <c r="M6" s="9" t="s">
        <v>10</v>
      </c>
      <c r="N6" s="9" t="s">
        <v>11</v>
      </c>
      <c r="O6" s="9" t="s">
        <v>12</v>
      </c>
      <c r="P6" s="9" t="s">
        <v>13</v>
      </c>
      <c r="Q6" s="9" t="s">
        <v>14</v>
      </c>
      <c r="R6" s="9" t="s">
        <v>15</v>
      </c>
      <c r="S6" s="9" t="s">
        <v>325</v>
      </c>
      <c r="T6" s="9" t="s">
        <v>346</v>
      </c>
      <c r="U6" s="9" t="s">
        <v>426</v>
      </c>
      <c r="W6" s="9" t="s">
        <v>7</v>
      </c>
      <c r="X6" s="9" t="s">
        <v>8</v>
      </c>
    </row>
    <row r="7" spans="2:27" x14ac:dyDescent="0.2">
      <c r="D7" s="10"/>
      <c r="E7" s="11"/>
      <c r="F7" s="11"/>
      <c r="G7" s="11"/>
      <c r="H7" s="11"/>
      <c r="I7" s="11"/>
      <c r="J7" s="11">
        <v>45657</v>
      </c>
      <c r="K7" s="11">
        <v>46022</v>
      </c>
      <c r="L7" s="11">
        <v>46387</v>
      </c>
      <c r="M7" s="11">
        <v>46752</v>
      </c>
      <c r="N7" s="11">
        <v>47118</v>
      </c>
      <c r="O7" s="11">
        <v>47483</v>
      </c>
      <c r="P7" s="11">
        <v>47848</v>
      </c>
      <c r="Q7" s="11">
        <v>48213</v>
      </c>
      <c r="R7" s="11">
        <v>48579</v>
      </c>
      <c r="S7" s="11">
        <v>48944</v>
      </c>
      <c r="T7" s="11">
        <v>49309</v>
      </c>
      <c r="U7" s="11">
        <v>49674</v>
      </c>
    </row>
    <row r="8" spans="2:27" s="1" customFormat="1" x14ac:dyDescent="0.2">
      <c r="B8" s="1" t="s">
        <v>16</v>
      </c>
      <c r="C8" s="151"/>
      <c r="D8" s="153">
        <f>+'Historical Financials'!CB9</f>
        <v>55838</v>
      </c>
      <c r="E8" s="153">
        <f>+'Historical Financials'!CC9</f>
        <v>70697</v>
      </c>
      <c r="F8" s="153">
        <f>+'Historical Financials'!CD9</f>
        <v>85966</v>
      </c>
      <c r="G8" s="153">
        <f>+'Historical Financials'!CE9</f>
        <v>117929</v>
      </c>
      <c r="H8" s="153">
        <f>+'Historical Financials'!CF9</f>
        <v>116609</v>
      </c>
      <c r="I8" s="153">
        <f>+'Historical Financials'!CG9</f>
        <v>134901</v>
      </c>
      <c r="J8" s="153">
        <f>+'Historical Financials'!CH9</f>
        <v>162961.48549899654</v>
      </c>
      <c r="K8" s="153">
        <f>+'Historical Financials'!CI9</f>
        <v>184059.78518067763</v>
      </c>
      <c r="L8" s="153">
        <f>+'LT Revenue Forecast'!L44</f>
        <v>209400.40790638165</v>
      </c>
      <c r="M8" s="153">
        <f>+'LT Revenue Forecast'!M44</f>
        <v>237833.67477196804</v>
      </c>
      <c r="N8" s="153">
        <f>+'LT Revenue Forecast'!N44</f>
        <v>269116.72519270598</v>
      </c>
      <c r="O8" s="153">
        <f>+'LT Revenue Forecast'!O44</f>
        <v>303371.30962878792</v>
      </c>
      <c r="P8" s="153">
        <f>+'LT Revenue Forecast'!P44</f>
        <v>340698.38670929044</v>
      </c>
      <c r="Q8" s="153">
        <f>+'LT Revenue Forecast'!Q44</f>
        <v>381173.73455650621</v>
      </c>
      <c r="R8" s="153">
        <f>+'LT Revenue Forecast'!R44</f>
        <v>424843.51909308066</v>
      </c>
      <c r="S8" s="153">
        <f>+'LT Revenue Forecast'!S44</f>
        <v>471719.92602699052</v>
      </c>
      <c r="T8" s="153">
        <f>+'LT Revenue Forecast'!T44</f>
        <v>521776.97544892627</v>
      </c>
      <c r="U8" s="153">
        <f>+'LT Revenue Forecast'!U44</f>
        <v>574946.64786189224</v>
      </c>
      <c r="W8" s="248">
        <f>_xll.ciqfunctions.udf.CIQ($B$2, "IQ_REVENUE_EST", "FY2024")</f>
        <v>162991.91159</v>
      </c>
      <c r="X8" s="248">
        <f>_xll.ciqfunctions.udf.CIQ($B$2, "IQ_REVENUE_EST", "FY2025")</f>
        <v>187028.36274000001</v>
      </c>
    </row>
    <row r="9" spans="2:27" s="7" customFormat="1" x14ac:dyDescent="0.2">
      <c r="B9" s="13" t="s">
        <v>17</v>
      </c>
      <c r="C9" s="14"/>
      <c r="D9" s="145"/>
      <c r="E9" s="145">
        <f t="shared" ref="E9:K9" si="0">+E8/D8-1</f>
        <v>0.26610910132884413</v>
      </c>
      <c r="F9" s="145">
        <f t="shared" si="0"/>
        <v>0.21597804715900248</v>
      </c>
      <c r="G9" s="145">
        <f t="shared" si="0"/>
        <v>0.37180978526394148</v>
      </c>
      <c r="H9" s="145">
        <f t="shared" si="0"/>
        <v>-1.1193175554782941E-2</v>
      </c>
      <c r="I9" s="145">
        <f t="shared" si="0"/>
        <v>0.15686610810486323</v>
      </c>
      <c r="J9" s="145">
        <f t="shared" si="0"/>
        <v>0.20800798733142489</v>
      </c>
      <c r="K9" s="145">
        <f t="shared" si="0"/>
        <v>0.129468012745938</v>
      </c>
      <c r="L9" s="145">
        <f t="shared" ref="L9:U9" si="1">+L8/K8-1</f>
        <v>0.13767604205790551</v>
      </c>
      <c r="M9" s="145">
        <f t="shared" si="1"/>
        <v>0.13578419999209501</v>
      </c>
      <c r="N9" s="145">
        <f t="shared" si="1"/>
        <v>0.13153330978353561</v>
      </c>
      <c r="O9" s="145">
        <f t="shared" si="1"/>
        <v>0.12728523064314667</v>
      </c>
      <c r="P9" s="145">
        <f t="shared" si="1"/>
        <v>0.12304089376868488</v>
      </c>
      <c r="Q9" s="145">
        <f t="shared" si="1"/>
        <v>0.11880111390651349</v>
      </c>
      <c r="R9" s="145">
        <f t="shared" si="1"/>
        <v>0.11456661510894506</v>
      </c>
      <c r="S9" s="145">
        <f t="shared" si="1"/>
        <v>0.11033805348844106</v>
      </c>
      <c r="T9" s="145">
        <f t="shared" si="1"/>
        <v>0.1061160376317698</v>
      </c>
      <c r="U9" s="145">
        <f t="shared" si="1"/>
        <v>0.10190114726166266</v>
      </c>
      <c r="V9" s="146"/>
      <c r="W9" s="145">
        <f>+W8/I8-1</f>
        <v>0.20823353118212617</v>
      </c>
      <c r="X9" s="145">
        <f>+X8/W8-1</f>
        <v>0.14747020827918633</v>
      </c>
    </row>
    <row r="10" spans="2:27" s="7" customFormat="1" x14ac:dyDescent="0.2">
      <c r="B10" s="13" t="s">
        <v>587</v>
      </c>
      <c r="C10" s="14"/>
      <c r="D10" s="145"/>
      <c r="E10" s="238">
        <f>+'Historical Financials'!CC11</f>
        <v>0.29599914037035702</v>
      </c>
      <c r="F10" s="238">
        <f>+'Historical Financials'!CD11</f>
        <v>0.21766128690043418</v>
      </c>
      <c r="G10" s="238">
        <f>+'Historical Financials'!CE11</f>
        <v>0.35273247562990018</v>
      </c>
      <c r="H10" s="238">
        <f>+'Historical Financials'!CF11</f>
        <v>3.9320268975400419E-2</v>
      </c>
      <c r="I10" s="238">
        <f>+'Historical Financials'!CG11</f>
        <v>0.15366738416417247</v>
      </c>
      <c r="J10" s="238">
        <f>+'Historical Financials'!CH11</f>
        <v>0.21759645962594809</v>
      </c>
      <c r="K10" s="238">
        <f>+'Historical Financials'!CI11</f>
        <v>0.15936233488132623</v>
      </c>
      <c r="L10" s="145">
        <f t="shared" ref="L10:U10" si="2">+L9</f>
        <v>0.13767604205790551</v>
      </c>
      <c r="M10" s="145">
        <f t="shared" si="2"/>
        <v>0.13578419999209501</v>
      </c>
      <c r="N10" s="145">
        <f t="shared" si="2"/>
        <v>0.13153330978353561</v>
      </c>
      <c r="O10" s="145">
        <f t="shared" si="2"/>
        <v>0.12728523064314667</v>
      </c>
      <c r="P10" s="145">
        <f t="shared" si="2"/>
        <v>0.12304089376868488</v>
      </c>
      <c r="Q10" s="145">
        <f t="shared" si="2"/>
        <v>0.11880111390651349</v>
      </c>
      <c r="R10" s="145">
        <f t="shared" si="2"/>
        <v>0.11456661510894506</v>
      </c>
      <c r="S10" s="145">
        <f t="shared" si="2"/>
        <v>0.11033805348844106</v>
      </c>
      <c r="T10" s="145">
        <f t="shared" si="2"/>
        <v>0.1061160376317698</v>
      </c>
      <c r="U10" s="145">
        <f t="shared" si="2"/>
        <v>0.10190114726166266</v>
      </c>
      <c r="V10" s="146"/>
      <c r="W10" s="146"/>
      <c r="X10" s="146"/>
    </row>
    <row r="11" spans="2:27" s="7" customFormat="1" x14ac:dyDescent="0.2">
      <c r="B11" s="18"/>
      <c r="C11" s="14"/>
      <c r="D11" s="19"/>
      <c r="E11" s="19"/>
      <c r="F11" s="19"/>
      <c r="G11" s="19"/>
      <c r="H11" s="19"/>
      <c r="I11" s="12"/>
      <c r="J11" s="12"/>
      <c r="K11" s="19"/>
      <c r="L11" s="19"/>
      <c r="M11" s="19"/>
      <c r="N11" s="19"/>
      <c r="V11" s="20"/>
      <c r="W11" s="20"/>
      <c r="X11" s="20"/>
    </row>
    <row r="12" spans="2:27" s="7" customFormat="1" x14ac:dyDescent="0.2">
      <c r="B12" s="23" t="s">
        <v>351</v>
      </c>
      <c r="C12" s="14"/>
      <c r="D12" s="12">
        <f t="shared" ref="D12:U12" si="3">+D8-D16</f>
        <v>30925</v>
      </c>
      <c r="E12" s="12">
        <f t="shared" si="3"/>
        <v>41161</v>
      </c>
      <c r="F12" s="12">
        <f t="shared" si="3"/>
        <v>53295</v>
      </c>
      <c r="G12" s="12">
        <f t="shared" si="3"/>
        <v>71176</v>
      </c>
      <c r="H12" s="12">
        <f t="shared" si="3"/>
        <v>83053</v>
      </c>
      <c r="I12" s="12">
        <f t="shared" si="3"/>
        <v>82828</v>
      </c>
      <c r="J12" s="12">
        <f t="shared" si="3"/>
        <v>95002.006410367132</v>
      </c>
      <c r="K12" s="12">
        <f t="shared" si="3"/>
        <v>108511.86769930906</v>
      </c>
      <c r="L12" s="12">
        <f t="shared" si="3"/>
        <v>117915.14792587586</v>
      </c>
      <c r="M12" s="12">
        <f t="shared" si="3"/>
        <v>128710.11801538974</v>
      </c>
      <c r="N12" s="12">
        <f t="shared" si="3"/>
        <v>140787.49070472183</v>
      </c>
      <c r="O12" s="12">
        <f t="shared" si="3"/>
        <v>154202.0537009587</v>
      </c>
      <c r="P12" s="12">
        <f t="shared" si="3"/>
        <v>168999.23838718483</v>
      </c>
      <c r="Q12" s="12">
        <f t="shared" si="3"/>
        <v>185213.14491843194</v>
      </c>
      <c r="R12" s="12">
        <f t="shared" si="3"/>
        <v>202864.54795989042</v>
      </c>
      <c r="S12" s="12">
        <f t="shared" si="3"/>
        <v>221958.93108014987</v>
      </c>
      <c r="T12" s="12">
        <f t="shared" si="3"/>
        <v>244484.60332002095</v>
      </c>
      <c r="U12" s="12">
        <f t="shared" si="3"/>
        <v>268410.95590585563</v>
      </c>
      <c r="W12" s="12">
        <f>+W8-W16</f>
        <v>97144.857790000009</v>
      </c>
      <c r="X12" s="12">
        <f>+X8-X16</f>
        <v>113661.91990000001</v>
      </c>
    </row>
    <row r="13" spans="2:27" s="7" customFormat="1" x14ac:dyDescent="0.2">
      <c r="B13" s="13" t="s">
        <v>17</v>
      </c>
      <c r="C13" s="14"/>
      <c r="D13" s="15"/>
      <c r="E13" s="145">
        <f t="shared" ref="E13:U13" si="4">+E12/D12-1</f>
        <v>0.33099434114793858</v>
      </c>
      <c r="F13" s="145">
        <f t="shared" si="4"/>
        <v>0.29479361531546844</v>
      </c>
      <c r="G13" s="145">
        <f t="shared" si="4"/>
        <v>0.33550989773899986</v>
      </c>
      <c r="H13" s="145">
        <f t="shared" si="4"/>
        <v>0.1668680454085647</v>
      </c>
      <c r="I13" s="145">
        <f t="shared" si="4"/>
        <v>-2.7091134576715525E-3</v>
      </c>
      <c r="J13" s="145">
        <f t="shared" si="4"/>
        <v>0.14697935976200238</v>
      </c>
      <c r="K13" s="145">
        <f t="shared" si="4"/>
        <v>0.14220606279182402</v>
      </c>
      <c r="L13" s="145">
        <f t="shared" si="4"/>
        <v>8.6656698718187153E-2</v>
      </c>
      <c r="M13" s="145">
        <f t="shared" si="4"/>
        <v>9.1548628648626673E-2</v>
      </c>
      <c r="N13" s="145">
        <f t="shared" si="4"/>
        <v>9.3833902692001203E-2</v>
      </c>
      <c r="O13" s="145">
        <f t="shared" si="4"/>
        <v>9.5282350222234413E-2</v>
      </c>
      <c r="P13" s="145">
        <f t="shared" si="4"/>
        <v>9.5959712150929244E-2</v>
      </c>
      <c r="Q13" s="145">
        <f t="shared" si="4"/>
        <v>9.5940707697748984E-2</v>
      </c>
      <c r="R13" s="145">
        <f t="shared" si="4"/>
        <v>9.5303187304724979E-2</v>
      </c>
      <c r="S13" s="145">
        <f t="shared" si="4"/>
        <v>9.4123804835701153E-2</v>
      </c>
      <c r="T13" s="145">
        <f t="shared" si="4"/>
        <v>0.10148576644450058</v>
      </c>
      <c r="U13" s="145">
        <f t="shared" si="4"/>
        <v>9.7864455515491056E-2</v>
      </c>
      <c r="W13" s="145">
        <f>+W12/I12-1</f>
        <v>0.17285045866132243</v>
      </c>
      <c r="X13" s="145">
        <f>+X12/W12-1</f>
        <v>0.17002507889512031</v>
      </c>
    </row>
    <row r="14" spans="2:27" s="7" customFormat="1" x14ac:dyDescent="0.2">
      <c r="B14" s="13" t="s">
        <v>20</v>
      </c>
      <c r="C14" s="14"/>
      <c r="D14" s="15">
        <f t="shared" ref="D14:R14" si="5">+D12/D8</f>
        <v>0.55383430638633191</v>
      </c>
      <c r="E14" s="15">
        <f t="shared" si="5"/>
        <v>0.58221706720228583</v>
      </c>
      <c r="F14" s="15">
        <f t="shared" si="5"/>
        <v>0.61995440057697226</v>
      </c>
      <c r="G14" s="15">
        <f t="shared" si="5"/>
        <v>0.60354959339941827</v>
      </c>
      <c r="H14" s="15">
        <f t="shared" si="5"/>
        <v>0.71223490468145678</v>
      </c>
      <c r="I14" s="15">
        <f>+I12/I8</f>
        <v>0.61399100080799995</v>
      </c>
      <c r="J14" s="15">
        <f>+J12/J8</f>
        <v>0.58297214289294219</v>
      </c>
      <c r="K14" s="15">
        <f t="shared" si="5"/>
        <v>0.58954685616301861</v>
      </c>
      <c r="L14" s="15">
        <f t="shared" si="5"/>
        <v>0.56310849202640112</v>
      </c>
      <c r="M14" s="15">
        <f t="shared" si="5"/>
        <v>0.5411770143096658</v>
      </c>
      <c r="N14" s="15">
        <f t="shared" si="5"/>
        <v>0.52314656624893285</v>
      </c>
      <c r="O14" s="15">
        <f t="shared" si="5"/>
        <v>0.50829478202682998</v>
      </c>
      <c r="P14" s="15">
        <f t="shared" si="5"/>
        <v>0.49603768312348284</v>
      </c>
      <c r="Q14" s="15">
        <f t="shared" si="5"/>
        <v>0.48590217039462735</v>
      </c>
      <c r="R14" s="15">
        <f t="shared" si="5"/>
        <v>0.47750416057410544</v>
      </c>
      <c r="S14" s="15">
        <f>+S12/S8</f>
        <v>0.47053117503340314</v>
      </c>
      <c r="T14" s="15">
        <f>+T12/T8</f>
        <v>0.46856150198975605</v>
      </c>
      <c r="U14" s="15">
        <f>+U12/U8</f>
        <v>0.46684497927593893</v>
      </c>
      <c r="W14" s="15">
        <f>+W12/W8</f>
        <v>0.59601029794879778</v>
      </c>
      <c r="X14" s="15">
        <f>+X12/X8</f>
        <v>0.60772557827503759</v>
      </c>
    </row>
    <row r="15" spans="2:27" s="7" customFormat="1" x14ac:dyDescent="0.2">
      <c r="B15" s="13"/>
      <c r="C15" s="14"/>
      <c r="D15" s="19"/>
      <c r="E15" s="19"/>
      <c r="F15" s="19"/>
      <c r="G15" s="19"/>
      <c r="H15" s="19"/>
      <c r="I15" s="19"/>
      <c r="J15" s="19"/>
      <c r="K15" s="19"/>
      <c r="L15" s="19"/>
      <c r="M15" s="19"/>
      <c r="N15" s="19"/>
    </row>
    <row r="16" spans="2:27" s="152" customFormat="1" x14ac:dyDescent="0.2">
      <c r="B16" s="1" t="s">
        <v>289</v>
      </c>
      <c r="C16" s="150"/>
      <c r="D16" s="153">
        <f>+'Historical Financials'!CB52</f>
        <v>24913</v>
      </c>
      <c r="E16" s="153">
        <f>+'Historical Financials'!CC52</f>
        <v>29536</v>
      </c>
      <c r="F16" s="153">
        <f>+'Historical Financials'!CD52</f>
        <v>32671</v>
      </c>
      <c r="G16" s="153">
        <f>+'Historical Financials'!CE52</f>
        <v>46753</v>
      </c>
      <c r="H16" s="153">
        <f>+'Historical Financials'!CF52</f>
        <v>33556</v>
      </c>
      <c r="I16" s="153">
        <f>+'Historical Financials'!CG52</f>
        <v>52073</v>
      </c>
      <c r="J16" s="153">
        <f>+'Historical Financials'!CH52</f>
        <v>67959.479088629407</v>
      </c>
      <c r="K16" s="153">
        <f>+'Historical Financials'!CI52</f>
        <v>75547.917481368568</v>
      </c>
      <c r="L16" s="151">
        <f t="shared" ref="L16:R16" si="6">+L24-L23</f>
        <v>91485.259980505783</v>
      </c>
      <c r="M16" s="151">
        <f t="shared" si="6"/>
        <v>109123.5567565783</v>
      </c>
      <c r="N16" s="151">
        <f t="shared" si="6"/>
        <v>128329.23448798415</v>
      </c>
      <c r="O16" s="151">
        <f t="shared" si="6"/>
        <v>149169.25592782922</v>
      </c>
      <c r="P16" s="151">
        <f t="shared" si="6"/>
        <v>171699.14832210561</v>
      </c>
      <c r="Q16" s="151">
        <f t="shared" si="6"/>
        <v>195960.58963807428</v>
      </c>
      <c r="R16" s="151">
        <f t="shared" si="6"/>
        <v>221978.97113319024</v>
      </c>
      <c r="S16" s="151">
        <f>+S24-S23</f>
        <v>249760.99494684066</v>
      </c>
      <c r="T16" s="151">
        <f>+T24-T23</f>
        <v>277292.37212890532</v>
      </c>
      <c r="U16" s="151">
        <f>+U24-U23</f>
        <v>306535.69195603661</v>
      </c>
      <c r="W16" s="248">
        <f>_xll.ciqfunctions.udf.CIQ($B$2, "IQ_EBIT_EST", "FY2024")</f>
        <v>65847.053799999994</v>
      </c>
      <c r="X16" s="248">
        <f>_xll.ciqfunctions.udf.CIQ($B$2, "IQ_EBIT_EST", "FY2025")</f>
        <v>73366.442840000003</v>
      </c>
      <c r="Y16" s="290"/>
      <c r="AA16" s="150"/>
    </row>
    <row r="17" spans="2:26" s="7" customFormat="1" x14ac:dyDescent="0.2">
      <c r="B17" s="13" t="s">
        <v>17</v>
      </c>
      <c r="C17" s="14"/>
      <c r="D17" s="15"/>
      <c r="E17" s="145">
        <f t="shared" ref="E17:K17" si="7">+E16/D16-1</f>
        <v>0.18556576887568732</v>
      </c>
      <c r="F17" s="145">
        <f t="shared" si="7"/>
        <v>0.10614165763813643</v>
      </c>
      <c r="G17" s="145">
        <f t="shared" si="7"/>
        <v>0.43102445593951821</v>
      </c>
      <c r="H17" s="145">
        <f t="shared" si="7"/>
        <v>-0.28227065642846449</v>
      </c>
      <c r="I17" s="145">
        <f t="shared" si="7"/>
        <v>0.55182381690308735</v>
      </c>
      <c r="J17" s="145">
        <f t="shared" si="7"/>
        <v>0.30508092655751362</v>
      </c>
      <c r="K17" s="145">
        <f t="shared" si="7"/>
        <v>0.11166122069362383</v>
      </c>
      <c r="L17" s="145">
        <f t="shared" ref="L17:U17" si="8">+L16/K16-1</f>
        <v>0.21095674150207566</v>
      </c>
      <c r="M17" s="145">
        <f t="shared" si="8"/>
        <v>0.19279932942018196</v>
      </c>
      <c r="N17" s="145">
        <f t="shared" si="8"/>
        <v>0.17599937449113701</v>
      </c>
      <c r="O17" s="145">
        <f t="shared" si="8"/>
        <v>0.16239496419497756</v>
      </c>
      <c r="P17" s="145">
        <f t="shared" si="8"/>
        <v>0.15103576306083322</v>
      </c>
      <c r="Q17" s="145">
        <f t="shared" si="8"/>
        <v>0.14130204810599567</v>
      </c>
      <c r="R17" s="145">
        <f t="shared" si="8"/>
        <v>0.13277354157369148</v>
      </c>
      <c r="S17" s="145">
        <f t="shared" si="8"/>
        <v>0.12515610677815436</v>
      </c>
      <c r="T17" s="145">
        <f t="shared" si="8"/>
        <v>0.11023089168877021</v>
      </c>
      <c r="U17" s="145">
        <f t="shared" si="8"/>
        <v>0.10546023896227807</v>
      </c>
      <c r="V17" s="145"/>
      <c r="W17" s="145">
        <f>+W16/I16-1</f>
        <v>0.26451431259961966</v>
      </c>
      <c r="X17" s="145">
        <f>+X16/W16-1</f>
        <v>0.11419476811884355</v>
      </c>
    </row>
    <row r="18" spans="2:26" s="7" customFormat="1" x14ac:dyDescent="0.2">
      <c r="B18" s="13" t="s">
        <v>587</v>
      </c>
      <c r="C18" s="14"/>
      <c r="D18" s="15"/>
      <c r="E18" s="145">
        <f>(1+E10)/(1+E9)*(1+E17)-1</f>
        <v>0.21355435775857501</v>
      </c>
      <c r="F18" s="145">
        <f t="shared" ref="F18:U18" si="9">(1+F10)/(1+F9)*(1+F17)-1</f>
        <v>0.10767285435845531</v>
      </c>
      <c r="G18" s="145">
        <f t="shared" si="9"/>
        <v>0.4111236672637828</v>
      </c>
      <c r="H18" s="145">
        <f t="shared" si="9"/>
        <v>-0.24560527297044987</v>
      </c>
      <c r="I18" s="145">
        <f t="shared" si="9"/>
        <v>0.54753303860118541</v>
      </c>
      <c r="J18" s="291">
        <v>0.32182548490399787</v>
      </c>
      <c r="K18" s="291">
        <v>0.14116935526896124</v>
      </c>
      <c r="L18" s="145">
        <f t="shared" si="9"/>
        <v>0.21095674150207566</v>
      </c>
      <c r="M18" s="145">
        <f t="shared" si="9"/>
        <v>0.19279932942018196</v>
      </c>
      <c r="N18" s="145">
        <f t="shared" si="9"/>
        <v>0.17599937449113701</v>
      </c>
      <c r="O18" s="145">
        <f t="shared" si="9"/>
        <v>0.16239496419497756</v>
      </c>
      <c r="P18" s="145">
        <f t="shared" si="9"/>
        <v>0.15103576306083322</v>
      </c>
      <c r="Q18" s="145">
        <f t="shared" si="9"/>
        <v>0.14130204810599567</v>
      </c>
      <c r="R18" s="145">
        <f t="shared" si="9"/>
        <v>0.13277354157369148</v>
      </c>
      <c r="S18" s="145">
        <f t="shared" si="9"/>
        <v>0.12515610677815436</v>
      </c>
      <c r="T18" s="145">
        <f t="shared" si="9"/>
        <v>0.11023089168877021</v>
      </c>
      <c r="U18" s="145">
        <f t="shared" si="9"/>
        <v>0.10546023896227807</v>
      </c>
      <c r="V18" s="145"/>
      <c r="W18" s="145"/>
      <c r="X18" s="145"/>
    </row>
    <row r="19" spans="2:26" s="7" customFormat="1" x14ac:dyDescent="0.2">
      <c r="B19" s="13" t="s">
        <v>21</v>
      </c>
      <c r="C19" s="14"/>
      <c r="D19" s="147">
        <f t="shared" ref="D19:U19" si="10">+D16/D8</f>
        <v>0.44616569361366809</v>
      </c>
      <c r="E19" s="147">
        <f t="shared" si="10"/>
        <v>0.41778293279771417</v>
      </c>
      <c r="F19" s="147">
        <f t="shared" si="10"/>
        <v>0.38004559942302774</v>
      </c>
      <c r="G19" s="147">
        <f t="shared" si="10"/>
        <v>0.39645040660058173</v>
      </c>
      <c r="H19" s="147">
        <f t="shared" si="10"/>
        <v>0.28776509531854316</v>
      </c>
      <c r="I19" s="147">
        <f t="shared" si="10"/>
        <v>0.38600899919200005</v>
      </c>
      <c r="J19" s="147">
        <f t="shared" si="10"/>
        <v>0.41702785710705786</v>
      </c>
      <c r="K19" s="147">
        <f t="shared" ref="K19" si="11">+K16/K8</f>
        <v>0.41045314383698139</v>
      </c>
      <c r="L19" s="147">
        <f t="shared" si="10"/>
        <v>0.43689150797359882</v>
      </c>
      <c r="M19" s="147">
        <f t="shared" si="10"/>
        <v>0.45882298569033425</v>
      </c>
      <c r="N19" s="147">
        <f t="shared" si="10"/>
        <v>0.47685343375106709</v>
      </c>
      <c r="O19" s="147">
        <f t="shared" si="10"/>
        <v>0.49170521797317002</v>
      </c>
      <c r="P19" s="147">
        <f t="shared" si="10"/>
        <v>0.50396231687651716</v>
      </c>
      <c r="Q19" s="147">
        <f t="shared" si="10"/>
        <v>0.51409782960537265</v>
      </c>
      <c r="R19" s="147">
        <f t="shared" si="10"/>
        <v>0.5224958394258945</v>
      </c>
      <c r="S19" s="147">
        <f t="shared" si="10"/>
        <v>0.52946882496659686</v>
      </c>
      <c r="T19" s="147">
        <f t="shared" si="10"/>
        <v>0.53143849801024401</v>
      </c>
      <c r="U19" s="147">
        <f t="shared" si="10"/>
        <v>0.53315502072406107</v>
      </c>
      <c r="W19" s="147">
        <f>+W16/W8</f>
        <v>0.40398970205120222</v>
      </c>
      <c r="X19" s="147">
        <f>+X16/X8</f>
        <v>0.39227442172496235</v>
      </c>
    </row>
    <row r="20" spans="2:26" s="7" customFormat="1" x14ac:dyDescent="0.2">
      <c r="B20" s="13" t="s">
        <v>22</v>
      </c>
      <c r="C20" s="14"/>
      <c r="D20" s="15"/>
      <c r="E20" s="147">
        <f t="shared" ref="E20:U20" si="12">+(E16-D16)/(E8-D8)</f>
        <v>0.31112457096709067</v>
      </c>
      <c r="F20" s="147">
        <f t="shared" si="12"/>
        <v>0.20531796450324186</v>
      </c>
      <c r="G20" s="147">
        <f t="shared" si="12"/>
        <v>0.44057191127240874</v>
      </c>
      <c r="H20" s="147">
        <f t="shared" si="12"/>
        <v>9.997727272727273</v>
      </c>
      <c r="I20" s="147">
        <f t="shared" si="12"/>
        <v>1.0123004592171441</v>
      </c>
      <c r="J20" s="147">
        <f t="shared" si="12"/>
        <v>0.56615125526596888</v>
      </c>
      <c r="K20" s="147">
        <f t="shared" si="12"/>
        <v>0.35967061361479918</v>
      </c>
      <c r="L20" s="147">
        <f t="shared" si="12"/>
        <v>0.6289246587050652</v>
      </c>
      <c r="M20" s="147">
        <f t="shared" si="12"/>
        <v>0.62034014098537005</v>
      </c>
      <c r="N20" s="147">
        <f t="shared" si="12"/>
        <v>0.61393238424965624</v>
      </c>
      <c r="O20" s="147">
        <f t="shared" si="12"/>
        <v>0.60838634544616776</v>
      </c>
      <c r="P20" s="147">
        <f t="shared" si="12"/>
        <v>0.60358040747971364</v>
      </c>
      <c r="Q20" s="147">
        <f t="shared" si="12"/>
        <v>0.59941279337609366</v>
      </c>
      <c r="R20" s="147">
        <f t="shared" si="12"/>
        <v>0.59579825664871255</v>
      </c>
      <c r="S20" s="147">
        <f t="shared" si="12"/>
        <v>0.59266538608259278</v>
      </c>
      <c r="T20" s="147">
        <f t="shared" si="12"/>
        <v>0.55000000000000004</v>
      </c>
      <c r="U20" s="147">
        <f t="shared" si="12"/>
        <v>0.55000000000000004</v>
      </c>
      <c r="W20" s="147">
        <f>+(W16-F16)/(W8-F8)</f>
        <v>0.43071290057029488</v>
      </c>
      <c r="X20" s="147">
        <f>+(X16-W16)/(X8-W8)</f>
        <v>0.31283274694234581</v>
      </c>
    </row>
    <row r="21" spans="2:26" s="7" customFormat="1" x14ac:dyDescent="0.2">
      <c r="B21" s="18"/>
      <c r="C21" s="14"/>
      <c r="D21" s="19"/>
      <c r="E21" s="19"/>
      <c r="F21" s="19"/>
      <c r="G21" s="19"/>
      <c r="H21" s="12"/>
      <c r="I21" s="12"/>
      <c r="J21" s="12"/>
      <c r="K21" s="19"/>
      <c r="L21" s="19"/>
      <c r="M21" s="19"/>
      <c r="N21" s="19"/>
    </row>
    <row r="22" spans="2:26" s="7" customFormat="1" x14ac:dyDescent="0.2">
      <c r="B22" s="21" t="s">
        <v>19</v>
      </c>
      <c r="C22" s="14"/>
      <c r="D22" s="19"/>
      <c r="E22" s="19"/>
      <c r="F22" s="19"/>
      <c r="G22" s="19"/>
      <c r="H22" s="19"/>
      <c r="I22" s="19"/>
      <c r="J22" s="19"/>
      <c r="K22" s="19"/>
      <c r="L22" s="19"/>
      <c r="M22" s="19"/>
      <c r="N22" s="19"/>
    </row>
    <row r="23" spans="2:26" s="7" customFormat="1" ht="13.5" x14ac:dyDescent="0.35">
      <c r="B23" s="13" t="s">
        <v>312</v>
      </c>
      <c r="C23" s="14"/>
      <c r="D23" s="19"/>
      <c r="E23" s="19"/>
      <c r="F23" s="19"/>
      <c r="G23" s="173">
        <f>-'Historical Financials'!CE210</f>
        <v>10193</v>
      </c>
      <c r="H23" s="173">
        <f>-'Historical Financials'!CF210</f>
        <v>13202</v>
      </c>
      <c r="I23" s="173">
        <f>-'Historical Financials'!CG210</f>
        <v>15507</v>
      </c>
      <c r="J23" s="167">
        <v>18000</v>
      </c>
      <c r="K23" s="167">
        <f>+J23-2000</f>
        <v>16000</v>
      </c>
      <c r="L23" s="167">
        <f t="shared" ref="L23:S23" si="13">+K23-2000</f>
        <v>14000</v>
      </c>
      <c r="M23" s="167">
        <f t="shared" si="13"/>
        <v>12000</v>
      </c>
      <c r="N23" s="167">
        <f t="shared" si="13"/>
        <v>10000</v>
      </c>
      <c r="O23" s="167">
        <f t="shared" si="13"/>
        <v>8000</v>
      </c>
      <c r="P23" s="167">
        <f t="shared" si="13"/>
        <v>6000</v>
      </c>
      <c r="Q23" s="167">
        <f t="shared" si="13"/>
        <v>4000</v>
      </c>
      <c r="R23" s="167">
        <f t="shared" si="13"/>
        <v>2000</v>
      </c>
      <c r="S23" s="167">
        <f t="shared" si="13"/>
        <v>0</v>
      </c>
      <c r="T23" s="167">
        <f>S23</f>
        <v>0</v>
      </c>
      <c r="U23" s="167">
        <f>T23</f>
        <v>0</v>
      </c>
    </row>
    <row r="24" spans="2:26" s="7" customFormat="1" x14ac:dyDescent="0.2">
      <c r="B24" s="16" t="s">
        <v>307</v>
      </c>
      <c r="C24" s="14"/>
      <c r="D24" s="19"/>
      <c r="E24" s="19"/>
      <c r="F24" s="19"/>
      <c r="G24" s="14">
        <f>+G16+G23</f>
        <v>56946</v>
      </c>
      <c r="H24" s="14">
        <f>+H16+H23</f>
        <v>46758</v>
      </c>
      <c r="I24" s="14">
        <f>+I16+I23</f>
        <v>67580</v>
      </c>
      <c r="J24" s="14">
        <f>+J16+J23</f>
        <v>85959.479088629407</v>
      </c>
      <c r="K24" s="14">
        <f>+K16+K23</f>
        <v>91547.917481368568</v>
      </c>
      <c r="L24" s="14">
        <f t="shared" ref="L24:U24" si="14">+(L8-K8)*L27+K24</f>
        <v>105485.25998050578</v>
      </c>
      <c r="M24" s="14">
        <f t="shared" si="14"/>
        <v>121123.5567565783</v>
      </c>
      <c r="N24" s="14">
        <f t="shared" si="14"/>
        <v>138329.23448798415</v>
      </c>
      <c r="O24" s="14">
        <f t="shared" si="14"/>
        <v>157169.25592782922</v>
      </c>
      <c r="P24" s="14">
        <f t="shared" si="14"/>
        <v>177699.14832210561</v>
      </c>
      <c r="Q24" s="14">
        <f t="shared" si="14"/>
        <v>199960.58963807428</v>
      </c>
      <c r="R24" s="14">
        <f t="shared" si="14"/>
        <v>223978.97113319024</v>
      </c>
      <c r="S24" s="14">
        <f t="shared" si="14"/>
        <v>249760.99494684066</v>
      </c>
      <c r="T24" s="14">
        <f t="shared" si="14"/>
        <v>277292.37212890532</v>
      </c>
      <c r="U24" s="14">
        <f t="shared" si="14"/>
        <v>306535.69195603661</v>
      </c>
    </row>
    <row r="25" spans="2:26" s="7" customFormat="1" x14ac:dyDescent="0.2">
      <c r="B25" s="18" t="s">
        <v>17</v>
      </c>
      <c r="C25" s="14"/>
      <c r="D25" s="19"/>
      <c r="E25" s="19"/>
      <c r="F25" s="19"/>
      <c r="G25" s="19"/>
      <c r="H25" s="145">
        <f t="shared" ref="H25:U25" si="15">+H24/G24-1</f>
        <v>-0.17890633231482456</v>
      </c>
      <c r="I25" s="145">
        <f t="shared" si="15"/>
        <v>0.44531417083707603</v>
      </c>
      <c r="J25" s="145">
        <f t="shared" si="15"/>
        <v>0.2719662487219503</v>
      </c>
      <c r="K25" s="145">
        <f t="shared" si="15"/>
        <v>6.5012473923639513E-2</v>
      </c>
      <c r="L25" s="145">
        <f t="shared" si="15"/>
        <v>0.15224095623992406</v>
      </c>
      <c r="M25" s="145">
        <f t="shared" si="15"/>
        <v>0.14825101420769649</v>
      </c>
      <c r="N25" s="145">
        <f t="shared" si="15"/>
        <v>0.14205063153804232</v>
      </c>
      <c r="O25" s="145">
        <f t="shared" si="15"/>
        <v>0.13619696161538131</v>
      </c>
      <c r="P25" s="145">
        <f t="shared" si="15"/>
        <v>0.13062282615693976</v>
      </c>
      <c r="Q25" s="145">
        <f t="shared" si="15"/>
        <v>0.1252760158175692</v>
      </c>
      <c r="R25" s="145">
        <f t="shared" si="15"/>
        <v>0.12011557646728721</v>
      </c>
      <c r="S25" s="145">
        <f t="shared" si="15"/>
        <v>0.11510912691137865</v>
      </c>
      <c r="T25" s="145">
        <f t="shared" si="15"/>
        <v>0.11023089168877021</v>
      </c>
      <c r="U25" s="145">
        <f t="shared" si="15"/>
        <v>0.10546023896227807</v>
      </c>
    </row>
    <row r="26" spans="2:26" s="7" customFormat="1" x14ac:dyDescent="0.2">
      <c r="B26" s="18" t="s">
        <v>21</v>
      </c>
      <c r="C26" s="14"/>
      <c r="D26" s="19"/>
      <c r="E26" s="19"/>
      <c r="F26" s="19"/>
      <c r="G26" s="19">
        <f t="shared" ref="G26:U26" si="16">+G24/G8</f>
        <v>0.48288376904747771</v>
      </c>
      <c r="H26" s="19">
        <f t="shared" si="16"/>
        <v>0.40098105635071052</v>
      </c>
      <c r="I26" s="19">
        <f t="shared" si="16"/>
        <v>0.5009599632322963</v>
      </c>
      <c r="J26" s="19">
        <f t="shared" si="16"/>
        <v>0.52748340397988525</v>
      </c>
      <c r="K26" s="19">
        <f t="shared" ref="K26" si="17">+K24/K8</f>
        <v>0.49738142088725612</v>
      </c>
      <c r="L26" s="19">
        <f t="shared" si="16"/>
        <v>0.50374906637080641</v>
      </c>
      <c r="M26" s="19">
        <f t="shared" si="16"/>
        <v>0.50927841430659493</v>
      </c>
      <c r="N26" s="19">
        <f t="shared" si="16"/>
        <v>0.51401203098369663</v>
      </c>
      <c r="O26" s="19">
        <f t="shared" si="16"/>
        <v>0.51807554287234714</v>
      </c>
      <c r="P26" s="19">
        <f t="shared" si="16"/>
        <v>0.52157320155945419</v>
      </c>
      <c r="Q26" s="19">
        <f t="shared" si="16"/>
        <v>0.52459173208964005</v>
      </c>
      <c r="R26" s="19">
        <f t="shared" si="16"/>
        <v>0.52720345507758071</v>
      </c>
      <c r="S26" s="19">
        <f t="shared" si="16"/>
        <v>0.52946882496659686</v>
      </c>
      <c r="T26" s="19">
        <f t="shared" si="16"/>
        <v>0.53143849801024401</v>
      </c>
      <c r="U26" s="19">
        <f t="shared" si="16"/>
        <v>0.53315502072406107</v>
      </c>
      <c r="V26" s="19"/>
    </row>
    <row r="27" spans="2:26" s="7" customFormat="1" x14ac:dyDescent="0.2">
      <c r="B27" s="18" t="s">
        <v>22</v>
      </c>
      <c r="C27" s="14"/>
      <c r="D27" s="19"/>
      <c r="E27" s="19"/>
      <c r="F27" s="19"/>
      <c r="G27" s="19"/>
      <c r="H27" s="19">
        <f>+(H24-G24)/(H8-G8)</f>
        <v>7.7181818181818178</v>
      </c>
      <c r="I27" s="19">
        <f>+(I24-H24)/(I8-H8)</f>
        <v>1.1383118303083315</v>
      </c>
      <c r="J27" s="19">
        <f>+(J24-I24)/(J8-I8)</f>
        <v>0.65499504950784504</v>
      </c>
      <c r="K27" s="19">
        <f>+(K24-J24)/(K8-J8)</f>
        <v>0.26487624486590283</v>
      </c>
      <c r="L27" s="148">
        <v>0.55000000000000004</v>
      </c>
      <c r="M27" s="147">
        <f t="shared" ref="M27:U27" si="18">+L27</f>
        <v>0.55000000000000004</v>
      </c>
      <c r="N27" s="147">
        <f t="shared" si="18"/>
        <v>0.55000000000000004</v>
      </c>
      <c r="O27" s="147">
        <f t="shared" si="18"/>
        <v>0.55000000000000004</v>
      </c>
      <c r="P27" s="147">
        <f t="shared" si="18"/>
        <v>0.55000000000000004</v>
      </c>
      <c r="Q27" s="147">
        <f t="shared" si="18"/>
        <v>0.55000000000000004</v>
      </c>
      <c r="R27" s="147">
        <f t="shared" si="18"/>
        <v>0.55000000000000004</v>
      </c>
      <c r="S27" s="147">
        <f t="shared" si="18"/>
        <v>0.55000000000000004</v>
      </c>
      <c r="T27" s="147">
        <f t="shared" si="18"/>
        <v>0.55000000000000004</v>
      </c>
      <c r="U27" s="147">
        <f t="shared" si="18"/>
        <v>0.55000000000000004</v>
      </c>
      <c r="V27" s="19"/>
    </row>
    <row r="28" spans="2:26" s="7" customFormat="1" x14ac:dyDescent="0.2">
      <c r="B28" s="18"/>
      <c r="C28" s="14"/>
      <c r="D28" s="19"/>
      <c r="E28" s="19"/>
      <c r="F28" s="19"/>
      <c r="G28" s="19"/>
      <c r="H28" s="19"/>
      <c r="I28" s="151"/>
      <c r="J28" s="151"/>
      <c r="K28" s="19"/>
      <c r="L28" s="19"/>
      <c r="M28" s="19"/>
      <c r="N28" s="19"/>
    </row>
    <row r="29" spans="2:26" ht="13.5" x14ac:dyDescent="0.35">
      <c r="B29" s="23" t="s">
        <v>527</v>
      </c>
      <c r="C29" s="12"/>
      <c r="D29" s="157">
        <f>+'Historical Financials'!CB69</f>
        <v>4315</v>
      </c>
      <c r="E29" s="157">
        <f>+'Historical Financials'!CC69</f>
        <v>5741</v>
      </c>
      <c r="F29" s="157">
        <f>+'Historical Financials'!CD69</f>
        <v>6862</v>
      </c>
      <c r="G29" s="157">
        <f>+'Historical Financials'!CE69</f>
        <v>7966</v>
      </c>
      <c r="H29" s="157">
        <f>+'Historical Financials'!CF69</f>
        <v>8686</v>
      </c>
      <c r="I29" s="157">
        <f>+'Historical Financials'!CG69</f>
        <v>11177</v>
      </c>
      <c r="J29" s="157">
        <f>+'D&amp;A Model - Case 1'!R59</f>
        <v>15435.789803690475</v>
      </c>
      <c r="K29" s="157">
        <f>+'D&amp;A Model - Case 1'!S59</f>
        <v>19396.592133266509</v>
      </c>
      <c r="L29" s="157">
        <f>+'D&amp;A Model - Case 1'!T59</f>
        <v>22897.677705589478</v>
      </c>
      <c r="M29" s="157">
        <f>+'D&amp;A Model - Case 1'!U59</f>
        <v>27118.615166935451</v>
      </c>
      <c r="N29" s="157">
        <f>+'D&amp;A Model - Case 1'!V59</f>
        <v>31602.722464484548</v>
      </c>
      <c r="O29" s="157">
        <f>+'D&amp;A Model - Case 1'!W59</f>
        <v>35965.141159418847</v>
      </c>
      <c r="P29" s="157">
        <f>+'D&amp;A Model - Case 1'!X59</f>
        <v>40730.409908538044</v>
      </c>
      <c r="Q29" s="157">
        <f>+'D&amp;A Model - Case 1'!Y59</f>
        <v>45042.587182727199</v>
      </c>
      <c r="R29" s="157">
        <f>+'D&amp;A Model - Case 1'!Z59</f>
        <v>49313.430582080196</v>
      </c>
      <c r="S29" s="157">
        <f>+'D&amp;A Model - Case 1'!AA59</f>
        <v>54022.74107153451</v>
      </c>
      <c r="T29" s="157">
        <f>+'D&amp;A Model - Case 1'!AB59</f>
        <v>59935.778182401758</v>
      </c>
      <c r="U29" s="157">
        <f>+'D&amp;A Model - Case 1'!AC59</f>
        <v>66506.570891600408</v>
      </c>
      <c r="V29" s="169"/>
      <c r="W29" s="249">
        <f>_xll.ciqfunctions.udf.CIQ($B$2, "IQ_DA_EST", "FY2024")</f>
        <v>14928.68462</v>
      </c>
      <c r="X29" s="249">
        <f>_xll.ciqfunctions.udf.CIQ($B$2, "IQ_DA_EST", "FY2025")</f>
        <v>19471.859469999999</v>
      </c>
    </row>
    <row r="30" spans="2:26" s="1" customFormat="1" x14ac:dyDescent="0.2">
      <c r="B30" s="149" t="s">
        <v>291</v>
      </c>
      <c r="C30" s="151"/>
      <c r="D30" s="151">
        <f t="shared" ref="D30:R30" si="19">+D16+D29</f>
        <v>29228</v>
      </c>
      <c r="E30" s="151">
        <f t="shared" si="19"/>
        <v>35277</v>
      </c>
      <c r="F30" s="151">
        <f t="shared" si="19"/>
        <v>39533</v>
      </c>
      <c r="G30" s="151">
        <f t="shared" si="19"/>
        <v>54719</v>
      </c>
      <c r="H30" s="151">
        <f t="shared" si="19"/>
        <v>42242</v>
      </c>
      <c r="I30" s="151">
        <f>+I16+I29</f>
        <v>63250</v>
      </c>
      <c r="J30" s="151">
        <f>+J16+J29</f>
        <v>83395.268892319888</v>
      </c>
      <c r="K30" s="151">
        <f t="shared" si="19"/>
        <v>94944.509614635084</v>
      </c>
      <c r="L30" s="151">
        <f t="shared" si="19"/>
        <v>114382.93768609526</v>
      </c>
      <c r="M30" s="151">
        <f t="shared" si="19"/>
        <v>136242.17192351376</v>
      </c>
      <c r="N30" s="151">
        <f t="shared" si="19"/>
        <v>159931.9569524687</v>
      </c>
      <c r="O30" s="151">
        <f t="shared" si="19"/>
        <v>185134.39708724807</v>
      </c>
      <c r="P30" s="151">
        <f t="shared" si="19"/>
        <v>212429.55823064366</v>
      </c>
      <c r="Q30" s="151">
        <f t="shared" si="19"/>
        <v>241003.17682080148</v>
      </c>
      <c r="R30" s="151">
        <f t="shared" si="19"/>
        <v>271292.40171527042</v>
      </c>
      <c r="S30" s="151">
        <f>+S16+S29</f>
        <v>303783.73601837514</v>
      </c>
      <c r="T30" s="151">
        <f>+T16+T29</f>
        <v>337228.15031130705</v>
      </c>
      <c r="U30" s="151">
        <f>+U16+U29</f>
        <v>373042.262847637</v>
      </c>
      <c r="W30" s="151">
        <f>+W16+W29</f>
        <v>80775.738419999994</v>
      </c>
      <c r="X30" s="151">
        <f>+X16+X29</f>
        <v>92838.302309999999</v>
      </c>
    </row>
    <row r="31" spans="2:26" s="7" customFormat="1" x14ac:dyDescent="0.2">
      <c r="B31" s="16" t="s">
        <v>17</v>
      </c>
      <c r="C31" s="14"/>
      <c r="D31" s="15"/>
      <c r="E31" s="145">
        <f t="shared" ref="E31:U31" si="20">+E30/D30-1</f>
        <v>0.20695908033392629</v>
      </c>
      <c r="F31" s="145">
        <f t="shared" si="20"/>
        <v>0.12064517957876242</v>
      </c>
      <c r="G31" s="145">
        <f t="shared" si="20"/>
        <v>0.3841347734803835</v>
      </c>
      <c r="H31" s="145">
        <f t="shared" si="20"/>
        <v>-0.22801951790054642</v>
      </c>
      <c r="I31" s="145">
        <f t="shared" si="20"/>
        <v>0.49732493726622784</v>
      </c>
      <c r="J31" s="145">
        <f t="shared" si="20"/>
        <v>0.31850227497738959</v>
      </c>
      <c r="K31" s="145">
        <f t="shared" si="20"/>
        <v>0.13848796071666358</v>
      </c>
      <c r="L31" s="145">
        <f t="shared" si="20"/>
        <v>0.20473461973059548</v>
      </c>
      <c r="M31" s="145">
        <f t="shared" si="20"/>
        <v>0.19110572502874068</v>
      </c>
      <c r="N31" s="145">
        <f t="shared" si="20"/>
        <v>0.17387997192421722</v>
      </c>
      <c r="O31" s="145">
        <f t="shared" si="20"/>
        <v>0.15758226570234157</v>
      </c>
      <c r="P31" s="145">
        <f t="shared" si="20"/>
        <v>0.1474343048770792</v>
      </c>
      <c r="Q31" s="145">
        <f t="shared" si="20"/>
        <v>0.13450867585542992</v>
      </c>
      <c r="R31" s="145">
        <f t="shared" si="20"/>
        <v>0.12567977440807998</v>
      </c>
      <c r="S31" s="145">
        <f t="shared" si="20"/>
        <v>0.11976499930582407</v>
      </c>
      <c r="T31" s="145">
        <f t="shared" si="20"/>
        <v>0.11009284016083387</v>
      </c>
      <c r="U31" s="145">
        <f t="shared" si="20"/>
        <v>0.10620143218550626</v>
      </c>
      <c r="W31" s="145">
        <f>+W30/I30-1</f>
        <v>0.277086773438735</v>
      </c>
      <c r="X31" s="145">
        <f>+X30/W30-1</f>
        <v>0.14933399713760243</v>
      </c>
    </row>
    <row r="32" spans="2:26" s="7" customFormat="1" x14ac:dyDescent="0.2">
      <c r="B32" s="16" t="s">
        <v>21</v>
      </c>
      <c r="C32" s="14"/>
      <c r="D32" s="147">
        <f t="shared" ref="D32:U32" si="21">+D30/D8</f>
        <v>0.52344281671979653</v>
      </c>
      <c r="E32" s="147">
        <f t="shared" si="21"/>
        <v>0.49898864166796331</v>
      </c>
      <c r="F32" s="147">
        <f t="shared" si="21"/>
        <v>0.45986785473326663</v>
      </c>
      <c r="G32" s="147">
        <f t="shared" si="21"/>
        <v>0.46399952513800674</v>
      </c>
      <c r="H32" s="147">
        <f t="shared" si="21"/>
        <v>0.36225334236636964</v>
      </c>
      <c r="I32" s="147">
        <f t="shared" si="21"/>
        <v>0.46886235090918527</v>
      </c>
      <c r="J32" s="147">
        <f t="shared" si="21"/>
        <v>0.51174833511709372</v>
      </c>
      <c r="K32" s="147">
        <f t="shared" si="21"/>
        <v>0.51583516476146707</v>
      </c>
      <c r="L32" s="147">
        <f t="shared" si="21"/>
        <v>0.54624028114230505</v>
      </c>
      <c r="M32" s="147">
        <f t="shared" si="21"/>
        <v>0.5728464316675973</v>
      </c>
      <c r="N32" s="147">
        <f t="shared" si="21"/>
        <v>0.59428471730230248</v>
      </c>
      <c r="O32" s="147">
        <f t="shared" si="21"/>
        <v>0.61025677515050047</v>
      </c>
      <c r="P32" s="147">
        <f t="shared" si="21"/>
        <v>0.62351207554118704</v>
      </c>
      <c r="Q32" s="147">
        <f t="shared" si="21"/>
        <v>0.63226595898903559</v>
      </c>
      <c r="R32" s="147">
        <f t="shared" si="21"/>
        <v>0.63857017824916351</v>
      </c>
      <c r="S32" s="147">
        <f t="shared" si="21"/>
        <v>0.6439917401347881</v>
      </c>
      <c r="T32" s="147">
        <f t="shared" si="21"/>
        <v>0.64630707405431764</v>
      </c>
      <c r="U32" s="147">
        <f t="shared" si="21"/>
        <v>0.64882935527131791</v>
      </c>
      <c r="W32" s="147">
        <f>+W30/W8</f>
        <v>0.4955812692300236</v>
      </c>
      <c r="X32" s="147">
        <f>+X30/X8</f>
        <v>0.49638622158640405</v>
      </c>
      <c r="Z32" s="185"/>
    </row>
    <row r="33" spans="2:24" s="7" customFormat="1" x14ac:dyDescent="0.2">
      <c r="B33" s="16"/>
      <c r="C33" s="14"/>
      <c r="D33" s="147"/>
      <c r="E33" s="147"/>
      <c r="F33" s="147"/>
      <c r="G33" s="147"/>
      <c r="H33" s="147"/>
      <c r="I33" s="147"/>
      <c r="J33" s="147"/>
      <c r="K33" s="147"/>
      <c r="L33" s="147"/>
      <c r="M33" s="147"/>
      <c r="N33" s="147"/>
      <c r="O33" s="147"/>
      <c r="P33" s="147"/>
      <c r="Q33" s="147"/>
      <c r="R33" s="147"/>
      <c r="S33" s="147"/>
      <c r="T33" s="147"/>
      <c r="U33" s="147"/>
      <c r="W33" s="147"/>
      <c r="X33" s="147"/>
    </row>
    <row r="34" spans="2:24" s="7" customFormat="1" x14ac:dyDescent="0.2">
      <c r="B34" s="16" t="s">
        <v>313</v>
      </c>
      <c r="C34" s="14"/>
      <c r="D34" s="147">
        <f t="shared" ref="D34:U34" si="22">+D29/D8</f>
        <v>7.7277123106128442E-2</v>
      </c>
      <c r="E34" s="147">
        <f t="shared" si="22"/>
        <v>8.1205708870249096E-2</v>
      </c>
      <c r="F34" s="147">
        <f t="shared" si="22"/>
        <v>7.9822255310238927E-2</v>
      </c>
      <c r="G34" s="147">
        <f t="shared" si="22"/>
        <v>6.7549118537425054E-2</v>
      </c>
      <c r="H34" s="147">
        <f t="shared" si="22"/>
        <v>7.44882470478265E-2</v>
      </c>
      <c r="I34" s="147">
        <f t="shared" si="22"/>
        <v>8.2853351717185192E-2</v>
      </c>
      <c r="J34" s="147">
        <f t="shared" si="22"/>
        <v>9.472047801003583E-2</v>
      </c>
      <c r="K34" s="147">
        <f t="shared" si="22"/>
        <v>0.10538202092448568</v>
      </c>
      <c r="L34" s="147">
        <f t="shared" si="22"/>
        <v>0.1093487731687062</v>
      </c>
      <c r="M34" s="147">
        <f t="shared" si="22"/>
        <v>0.11402344597726306</v>
      </c>
      <c r="N34" s="147">
        <f t="shared" si="22"/>
        <v>0.11743128355123539</v>
      </c>
      <c r="O34" s="147">
        <f t="shared" si="22"/>
        <v>0.11855155717733037</v>
      </c>
      <c r="P34" s="147">
        <f t="shared" si="22"/>
        <v>0.11954975866466988</v>
      </c>
      <c r="Q34" s="147">
        <f t="shared" si="22"/>
        <v>0.11816812938366289</v>
      </c>
      <c r="R34" s="147">
        <f t="shared" si="22"/>
        <v>0.11607433882326899</v>
      </c>
      <c r="S34" s="147">
        <f t="shared" si="22"/>
        <v>0.1145229151681913</v>
      </c>
      <c r="T34" s="147">
        <f t="shared" si="22"/>
        <v>0.11486857604407369</v>
      </c>
      <c r="U34" s="147">
        <f t="shared" si="22"/>
        <v>0.11567433454725687</v>
      </c>
      <c r="V34" s="17"/>
      <c r="W34" s="147">
        <f>+W29/W8</f>
        <v>9.1591567178821373E-2</v>
      </c>
      <c r="X34" s="147">
        <f>+X29/X8</f>
        <v>0.10411179986144169</v>
      </c>
    </row>
    <row r="35" spans="2:24" s="7" customFormat="1" x14ac:dyDescent="0.2">
      <c r="B35" s="16"/>
      <c r="C35" s="14"/>
      <c r="D35" s="147"/>
      <c r="E35" s="147"/>
      <c r="F35" s="147"/>
      <c r="G35" s="147"/>
      <c r="H35" s="147"/>
      <c r="I35" s="147"/>
      <c r="J35" s="147"/>
      <c r="K35" s="147"/>
      <c r="L35" s="147"/>
      <c r="M35" s="147"/>
      <c r="N35" s="147"/>
      <c r="O35" s="147"/>
      <c r="P35" s="147"/>
      <c r="Q35" s="147"/>
      <c r="R35" s="147"/>
      <c r="S35" s="147"/>
      <c r="T35" s="147"/>
      <c r="U35" s="147"/>
      <c r="V35" s="17"/>
      <c r="W35" s="147"/>
      <c r="X35" s="147"/>
    </row>
    <row r="36" spans="2:24" s="7" customFormat="1" x14ac:dyDescent="0.2">
      <c r="B36" s="269" t="s">
        <v>19</v>
      </c>
      <c r="C36" s="14"/>
      <c r="D36" s="147"/>
      <c r="E36" s="147"/>
      <c r="F36" s="147"/>
      <c r="G36" s="147"/>
      <c r="H36" s="147"/>
      <c r="I36" s="147"/>
      <c r="J36" s="147"/>
      <c r="K36" s="147"/>
      <c r="L36" s="147"/>
      <c r="M36" s="147"/>
      <c r="N36" s="147"/>
      <c r="O36" s="147"/>
      <c r="P36" s="147"/>
      <c r="Q36" s="147"/>
      <c r="R36" s="147"/>
      <c r="S36" s="147"/>
      <c r="T36" s="147"/>
      <c r="U36" s="147"/>
      <c r="V36" s="17"/>
      <c r="W36" s="147"/>
      <c r="X36" s="147"/>
    </row>
    <row r="37" spans="2:24" s="7" customFormat="1" x14ac:dyDescent="0.2">
      <c r="B37" s="16" t="s">
        <v>525</v>
      </c>
      <c r="C37" s="14"/>
      <c r="D37" s="14">
        <f t="shared" ref="D37:U37" si="23">+D8-D30</f>
        <v>26610</v>
      </c>
      <c r="E37" s="14">
        <f t="shared" si="23"/>
        <v>35420</v>
      </c>
      <c r="F37" s="14">
        <f t="shared" si="23"/>
        <v>46433</v>
      </c>
      <c r="G37" s="14">
        <f t="shared" si="23"/>
        <v>63210</v>
      </c>
      <c r="H37" s="14">
        <f t="shared" si="23"/>
        <v>74367</v>
      </c>
      <c r="I37" s="14">
        <f t="shared" si="23"/>
        <v>71651</v>
      </c>
      <c r="J37" s="14">
        <f t="shared" si="23"/>
        <v>79566.216606676651</v>
      </c>
      <c r="K37" s="14">
        <f t="shared" si="23"/>
        <v>89115.275566042546</v>
      </c>
      <c r="L37" s="14">
        <f t="shared" si="23"/>
        <v>95017.470220286385</v>
      </c>
      <c r="M37" s="14">
        <f t="shared" si="23"/>
        <v>101591.50284845429</v>
      </c>
      <c r="N37" s="14">
        <f t="shared" si="23"/>
        <v>109184.76824023729</v>
      </c>
      <c r="O37" s="14">
        <f t="shared" si="23"/>
        <v>118236.91254153984</v>
      </c>
      <c r="P37" s="14">
        <f t="shared" si="23"/>
        <v>128268.82847864678</v>
      </c>
      <c r="Q37" s="14">
        <f t="shared" si="23"/>
        <v>140170.55773570473</v>
      </c>
      <c r="R37" s="14">
        <f t="shared" si="23"/>
        <v>153551.11737781024</v>
      </c>
      <c r="S37" s="14">
        <f t="shared" si="23"/>
        <v>167936.19000861538</v>
      </c>
      <c r="T37" s="14">
        <f t="shared" si="23"/>
        <v>184548.82513761922</v>
      </c>
      <c r="U37" s="14">
        <f t="shared" si="23"/>
        <v>201904.38501425524</v>
      </c>
      <c r="V37" s="17"/>
      <c r="W37" s="14">
        <f>+W8-W30</f>
        <v>82216.173170000009</v>
      </c>
      <c r="X37" s="14">
        <f>+X8-X30</f>
        <v>94190.060430000012</v>
      </c>
    </row>
    <row r="38" spans="2:24" s="7" customFormat="1" x14ac:dyDescent="0.2">
      <c r="B38" s="18" t="s">
        <v>17</v>
      </c>
      <c r="C38" s="14"/>
      <c r="D38" s="147"/>
      <c r="E38" s="145">
        <f t="shared" ref="E38:U38" si="24">+E37/D37-1</f>
        <v>0.33107854190154073</v>
      </c>
      <c r="F38" s="145">
        <f t="shared" si="24"/>
        <v>0.31092603049124778</v>
      </c>
      <c r="G38" s="145">
        <f t="shared" si="24"/>
        <v>0.3613163052139643</v>
      </c>
      <c r="H38" s="145">
        <f t="shared" si="24"/>
        <v>0.17650688182249641</v>
      </c>
      <c r="I38" s="145">
        <f t="shared" si="24"/>
        <v>-3.6521575429962261E-2</v>
      </c>
      <c r="J38" s="145">
        <f t="shared" si="24"/>
        <v>0.11046903192804924</v>
      </c>
      <c r="K38" s="145">
        <f t="shared" si="24"/>
        <v>0.12001398792869833</v>
      </c>
      <c r="L38" s="145">
        <f t="shared" si="24"/>
        <v>6.6231009406123365E-2</v>
      </c>
      <c r="M38" s="145">
        <f t="shared" si="24"/>
        <v>6.9187620054783627E-2</v>
      </c>
      <c r="N38" s="145">
        <f t="shared" si="24"/>
        <v>7.4743115111802316E-2</v>
      </c>
      <c r="O38" s="145">
        <f t="shared" si="24"/>
        <v>8.2906658567844183E-2</v>
      </c>
      <c r="P38" s="145">
        <f t="shared" si="24"/>
        <v>8.4845888830042515E-2</v>
      </c>
      <c r="Q38" s="145">
        <f t="shared" si="24"/>
        <v>9.2787385666652789E-2</v>
      </c>
      <c r="R38" s="145">
        <f t="shared" si="24"/>
        <v>9.5459131063278635E-2</v>
      </c>
      <c r="S38" s="145">
        <f t="shared" si="24"/>
        <v>9.3682630751626972E-2</v>
      </c>
      <c r="T38" s="145">
        <f t="shared" si="24"/>
        <v>9.8922305717139336E-2</v>
      </c>
      <c r="U38" s="145">
        <f t="shared" si="24"/>
        <v>9.4043188103169362E-2</v>
      </c>
      <c r="W38" s="145">
        <f>+W37/I37-1</f>
        <v>0.14745325494410411</v>
      </c>
      <c r="X38" s="145">
        <f>+X37/W37-1</f>
        <v>0.14563907316923341</v>
      </c>
    </row>
    <row r="39" spans="2:24" s="7" customFormat="1" x14ac:dyDescent="0.2">
      <c r="B39" s="18" t="s">
        <v>20</v>
      </c>
      <c r="C39" s="14"/>
      <c r="D39" s="147">
        <f t="shared" ref="D39:U39" si="25">+D37/D8</f>
        <v>0.47655718328020347</v>
      </c>
      <c r="E39" s="147">
        <f t="shared" si="25"/>
        <v>0.50101135833203669</v>
      </c>
      <c r="F39" s="147">
        <f t="shared" si="25"/>
        <v>0.54013214526673337</v>
      </c>
      <c r="G39" s="147">
        <f t="shared" si="25"/>
        <v>0.5360004748619932</v>
      </c>
      <c r="H39" s="147">
        <f t="shared" si="25"/>
        <v>0.63774665763363036</v>
      </c>
      <c r="I39" s="147">
        <f t="shared" si="25"/>
        <v>0.53113764909081473</v>
      </c>
      <c r="J39" s="147">
        <f t="shared" si="25"/>
        <v>0.48825166488290628</v>
      </c>
      <c r="K39" s="147">
        <f t="shared" si="25"/>
        <v>0.48416483523853293</v>
      </c>
      <c r="L39" s="147">
        <f t="shared" si="25"/>
        <v>0.453759718857695</v>
      </c>
      <c r="M39" s="147">
        <f t="shared" si="25"/>
        <v>0.4271535683324027</v>
      </c>
      <c r="N39" s="147">
        <f t="shared" si="25"/>
        <v>0.40571528269769752</v>
      </c>
      <c r="O39" s="147">
        <f t="shared" si="25"/>
        <v>0.38974322484949958</v>
      </c>
      <c r="P39" s="147">
        <f t="shared" si="25"/>
        <v>0.37648792445881296</v>
      </c>
      <c r="Q39" s="147">
        <f t="shared" si="25"/>
        <v>0.36773404101096446</v>
      </c>
      <c r="R39" s="147">
        <f t="shared" si="25"/>
        <v>0.36142982175083649</v>
      </c>
      <c r="S39" s="147">
        <f t="shared" si="25"/>
        <v>0.3560082598652119</v>
      </c>
      <c r="T39" s="147">
        <f t="shared" si="25"/>
        <v>0.35369292594568241</v>
      </c>
      <c r="U39" s="147">
        <f t="shared" si="25"/>
        <v>0.35117064472868209</v>
      </c>
      <c r="V39" s="17"/>
      <c r="W39" s="147">
        <f>+W37/W8</f>
        <v>0.50441873076997645</v>
      </c>
      <c r="X39" s="147">
        <f>+X37/X8</f>
        <v>0.503613778413596</v>
      </c>
    </row>
    <row r="40" spans="2:24" s="7" customFormat="1" x14ac:dyDescent="0.2">
      <c r="B40" s="168"/>
      <c r="C40" s="14"/>
      <c r="D40" s="19"/>
      <c r="E40" s="19"/>
      <c r="F40" s="19"/>
      <c r="G40" s="19"/>
      <c r="H40" s="19"/>
      <c r="I40" s="19"/>
      <c r="J40" s="19"/>
      <c r="K40" s="19"/>
      <c r="L40" s="19"/>
      <c r="M40" s="19"/>
      <c r="N40" s="19"/>
    </row>
    <row r="41" spans="2:24" s="7" customFormat="1" x14ac:dyDescent="0.2">
      <c r="B41" s="23" t="s">
        <v>29</v>
      </c>
      <c r="C41" s="14"/>
      <c r="D41" s="159">
        <f>+-'Historical Financials'!CB90</f>
        <v>13914</v>
      </c>
      <c r="E41" s="159">
        <f>+-'Historical Financials'!CC90</f>
        <v>15654</v>
      </c>
      <c r="F41" s="159">
        <f>+-'Historical Financials'!CD90</f>
        <v>15718</v>
      </c>
      <c r="G41" s="159">
        <f>+-'Historical Financials'!CE90</f>
        <v>19244</v>
      </c>
      <c r="H41" s="159">
        <f>+-'Historical Financials'!CF90</f>
        <v>32036</v>
      </c>
      <c r="I41" s="159">
        <f>+-'Historical Financials'!CG90</f>
        <v>28103</v>
      </c>
      <c r="J41" s="159">
        <f>+-'Historical Financials'!CH90</f>
        <v>37974.480794708994</v>
      </c>
      <c r="K41" s="159">
        <f>+-'Historical Financials'!CI90</f>
        <v>46014.946295169408</v>
      </c>
      <c r="L41" s="12">
        <f t="shared" ref="L41:U41" si="26">L42*L8</f>
        <v>48162.09381846778</v>
      </c>
      <c r="M41" s="12">
        <f t="shared" si="26"/>
        <v>52323.408449832968</v>
      </c>
      <c r="N41" s="12">
        <f t="shared" si="26"/>
        <v>53823.3450385412</v>
      </c>
      <c r="O41" s="12">
        <f t="shared" si="26"/>
        <v>54606.835733181826</v>
      </c>
      <c r="P41" s="12">
        <f t="shared" si="26"/>
        <v>61325.709607672274</v>
      </c>
      <c r="Q41" s="12">
        <f t="shared" si="26"/>
        <v>68611.272220171115</v>
      </c>
      <c r="R41" s="12">
        <f t="shared" si="26"/>
        <v>76471.833436754518</v>
      </c>
      <c r="S41" s="12">
        <f t="shared" si="26"/>
        <v>84909.586684858295</v>
      </c>
      <c r="T41" s="12">
        <f t="shared" si="26"/>
        <v>93919.855580806732</v>
      </c>
      <c r="U41" s="12">
        <f t="shared" si="26"/>
        <v>103490.39661514061</v>
      </c>
      <c r="W41" s="250">
        <f>-_xll.ciqfunctions.udf.CIQ($B$2, "IQ_CAPEX_EST", "FY2024")</f>
        <v>38375.807529999998</v>
      </c>
      <c r="X41" s="250">
        <f>-_xll.ciqfunctions.udf.CIQ($B$2, "IQ_CAPEX_EST", "FY2025")</f>
        <v>66910.058470000004</v>
      </c>
    </row>
    <row r="42" spans="2:24" s="7" customFormat="1" x14ac:dyDescent="0.2">
      <c r="B42" s="13" t="s">
        <v>20</v>
      </c>
      <c r="C42" s="14"/>
      <c r="D42" s="15">
        <f t="shared" ref="D42:J42" si="27">D41/D8</f>
        <v>0.24918514273433862</v>
      </c>
      <c r="E42" s="15">
        <f t="shared" si="27"/>
        <v>0.22142382279304637</v>
      </c>
      <c r="F42" s="15">
        <f t="shared" si="27"/>
        <v>0.18283972733406231</v>
      </c>
      <c r="G42" s="15">
        <f t="shared" si="27"/>
        <v>0.16318293210321463</v>
      </c>
      <c r="H42" s="15">
        <f t="shared" si="27"/>
        <v>0.27473008086854361</v>
      </c>
      <c r="I42" s="15">
        <f t="shared" si="27"/>
        <v>0.20832314067353097</v>
      </c>
      <c r="J42" s="15">
        <f t="shared" si="27"/>
        <v>0.23302733574395912</v>
      </c>
      <c r="K42" s="15">
        <f t="shared" ref="K42" si="28">K41/K8</f>
        <v>0.25</v>
      </c>
      <c r="L42" s="17">
        <v>0.23</v>
      </c>
      <c r="M42" s="17">
        <v>0.22</v>
      </c>
      <c r="N42" s="17">
        <v>0.2</v>
      </c>
      <c r="O42" s="17">
        <v>0.18</v>
      </c>
      <c r="P42" s="17">
        <v>0.18</v>
      </c>
      <c r="Q42" s="17">
        <v>0.18</v>
      </c>
      <c r="R42" s="17">
        <v>0.18</v>
      </c>
      <c r="S42" s="17">
        <v>0.18</v>
      </c>
      <c r="T42" s="17">
        <v>0.18</v>
      </c>
      <c r="U42" s="17">
        <v>0.18</v>
      </c>
      <c r="W42" s="15">
        <f>W41/W8</f>
        <v>0.23544608536485476</v>
      </c>
      <c r="X42" s="15">
        <f>X41/X8</f>
        <v>0.35775353796480547</v>
      </c>
    </row>
    <row r="43" spans="2:24" s="7" customFormat="1" ht="13.5" x14ac:dyDescent="0.35">
      <c r="B43" s="23"/>
      <c r="C43" s="14"/>
      <c r="D43" s="157"/>
      <c r="E43" s="157"/>
      <c r="F43" s="157"/>
      <c r="G43" s="157"/>
      <c r="H43" s="157"/>
      <c r="I43" s="25"/>
      <c r="J43" s="25"/>
      <c r="K43" s="25"/>
      <c r="L43" s="25"/>
      <c r="M43" s="25"/>
      <c r="N43" s="25"/>
      <c r="O43" s="25"/>
      <c r="P43" s="25"/>
      <c r="Q43" s="25"/>
      <c r="R43" s="25"/>
      <c r="S43" s="25"/>
      <c r="T43" s="25"/>
      <c r="U43" s="25"/>
      <c r="W43" s="157"/>
      <c r="X43" s="157"/>
    </row>
    <row r="44" spans="2:24" s="7" customFormat="1" x14ac:dyDescent="0.2">
      <c r="B44" s="1" t="s">
        <v>294</v>
      </c>
      <c r="C44" s="14"/>
      <c r="D44" s="151">
        <f t="shared" ref="D44:U44" si="29">+D30-D41</f>
        <v>15314</v>
      </c>
      <c r="E44" s="151">
        <f t="shared" si="29"/>
        <v>19623</v>
      </c>
      <c r="F44" s="151">
        <f t="shared" si="29"/>
        <v>23815</v>
      </c>
      <c r="G44" s="151">
        <f t="shared" si="29"/>
        <v>35475</v>
      </c>
      <c r="H44" s="151">
        <f t="shared" si="29"/>
        <v>10206</v>
      </c>
      <c r="I44" s="151">
        <f t="shared" si="29"/>
        <v>35147</v>
      </c>
      <c r="J44" s="151">
        <f t="shared" si="29"/>
        <v>45420.788097610894</v>
      </c>
      <c r="K44" s="151">
        <f t="shared" si="29"/>
        <v>48929.563319465677</v>
      </c>
      <c r="L44" s="151">
        <f t="shared" si="29"/>
        <v>66220.843867627482</v>
      </c>
      <c r="M44" s="151">
        <f t="shared" si="29"/>
        <v>83918.763473680796</v>
      </c>
      <c r="N44" s="151">
        <f t="shared" si="29"/>
        <v>106108.6119139275</v>
      </c>
      <c r="O44" s="151">
        <f t="shared" si="29"/>
        <v>130527.56135406625</v>
      </c>
      <c r="P44" s="151">
        <f t="shared" si="29"/>
        <v>151103.84862297139</v>
      </c>
      <c r="Q44" s="151">
        <f t="shared" si="29"/>
        <v>172391.90460063037</v>
      </c>
      <c r="R44" s="151">
        <f t="shared" si="29"/>
        <v>194820.56827851589</v>
      </c>
      <c r="S44" s="151">
        <f t="shared" si="29"/>
        <v>218874.14933351683</v>
      </c>
      <c r="T44" s="151">
        <f t="shared" si="29"/>
        <v>243308.29473050032</v>
      </c>
      <c r="U44" s="151">
        <f t="shared" si="29"/>
        <v>269551.8662324964</v>
      </c>
      <c r="W44" s="151">
        <f>+W30-W41</f>
        <v>42399.930889999996</v>
      </c>
      <c r="X44" s="151">
        <f>+X30-X41</f>
        <v>25928.243839999996</v>
      </c>
    </row>
    <row r="45" spans="2:24" s="7" customFormat="1" x14ac:dyDescent="0.2">
      <c r="B45" s="13" t="s">
        <v>17</v>
      </c>
      <c r="C45" s="14"/>
      <c r="D45" s="15"/>
      <c r="E45" s="145">
        <f t="shared" ref="E45:U45" si="30">+E44/D44-1</f>
        <v>0.28137651821862342</v>
      </c>
      <c r="F45" s="145">
        <f t="shared" si="30"/>
        <v>0.21362686643224782</v>
      </c>
      <c r="G45" s="145">
        <f t="shared" si="30"/>
        <v>0.48960739030023093</v>
      </c>
      <c r="H45" s="145">
        <f t="shared" si="30"/>
        <v>-0.7123044397463002</v>
      </c>
      <c r="I45" s="145">
        <f t="shared" si="30"/>
        <v>2.443758573388203</v>
      </c>
      <c r="J45" s="145">
        <f t="shared" si="30"/>
        <v>0.29230910454977366</v>
      </c>
      <c r="K45" s="145">
        <f t="shared" si="30"/>
        <v>7.7250425825159619E-2</v>
      </c>
      <c r="L45" s="145">
        <f t="shared" si="30"/>
        <v>0.35339127053445019</v>
      </c>
      <c r="M45" s="145">
        <f t="shared" si="30"/>
        <v>0.26725602653796843</v>
      </c>
      <c r="N45" s="145">
        <f t="shared" si="30"/>
        <v>0.26442058392824208</v>
      </c>
      <c r="O45" s="145">
        <f t="shared" si="30"/>
        <v>0.23013164529893904</v>
      </c>
      <c r="P45" s="145">
        <f t="shared" si="30"/>
        <v>0.15763940623306638</v>
      </c>
      <c r="Q45" s="145">
        <f t="shared" si="30"/>
        <v>0.14088361197719146</v>
      </c>
      <c r="R45" s="145">
        <f t="shared" si="30"/>
        <v>0.13010276630938455</v>
      </c>
      <c r="S45" s="145">
        <f t="shared" si="30"/>
        <v>0.12346530588399629</v>
      </c>
      <c r="T45" s="145">
        <f t="shared" si="30"/>
        <v>0.111635592743075</v>
      </c>
      <c r="U45" s="145">
        <f t="shared" si="30"/>
        <v>0.107861392605068</v>
      </c>
      <c r="W45" s="145">
        <f>+W44/I44-1</f>
        <v>0.20635988533872007</v>
      </c>
      <c r="X45" s="145">
        <f>+X44/W44-1</f>
        <v>-0.38848381835180867</v>
      </c>
    </row>
    <row r="46" spans="2:24" s="7" customFormat="1" x14ac:dyDescent="0.2">
      <c r="B46" s="13" t="s">
        <v>21</v>
      </c>
      <c r="C46" s="14"/>
      <c r="D46" s="147">
        <f t="shared" ref="D46:U46" si="31">+D44/D8</f>
        <v>0.27425767398545792</v>
      </c>
      <c r="E46" s="147">
        <f t="shared" si="31"/>
        <v>0.27756481887491691</v>
      </c>
      <c r="F46" s="147">
        <f t="shared" si="31"/>
        <v>0.27702812739920435</v>
      </c>
      <c r="G46" s="147">
        <f t="shared" si="31"/>
        <v>0.30081659303479213</v>
      </c>
      <c r="H46" s="147">
        <f t="shared" si="31"/>
        <v>8.7523261497826063E-2</v>
      </c>
      <c r="I46" s="147">
        <f t="shared" si="31"/>
        <v>0.26053921023565429</v>
      </c>
      <c r="J46" s="147">
        <f t="shared" si="31"/>
        <v>0.2787209993731346</v>
      </c>
      <c r="K46" s="147">
        <f t="shared" si="31"/>
        <v>0.26583516476146707</v>
      </c>
      <c r="L46" s="147">
        <f t="shared" si="31"/>
        <v>0.31624028114230501</v>
      </c>
      <c r="M46" s="147">
        <f t="shared" si="31"/>
        <v>0.35284643166759738</v>
      </c>
      <c r="N46" s="147">
        <f t="shared" si="31"/>
        <v>0.39428471730230247</v>
      </c>
      <c r="O46" s="147">
        <f t="shared" si="31"/>
        <v>0.43025677515050043</v>
      </c>
      <c r="P46" s="147">
        <f t="shared" si="31"/>
        <v>0.4435120755411871</v>
      </c>
      <c r="Q46" s="147">
        <f t="shared" si="31"/>
        <v>0.45226595898903554</v>
      </c>
      <c r="R46" s="147">
        <f t="shared" si="31"/>
        <v>0.45857017824916346</v>
      </c>
      <c r="S46" s="147">
        <f t="shared" si="31"/>
        <v>0.46399174013478806</v>
      </c>
      <c r="T46" s="147">
        <f t="shared" si="31"/>
        <v>0.46630707405431759</v>
      </c>
      <c r="U46" s="147">
        <f t="shared" si="31"/>
        <v>0.46882935527131792</v>
      </c>
      <c r="W46" s="147">
        <f>+W44/W8</f>
        <v>0.26013518386516887</v>
      </c>
      <c r="X46" s="147">
        <f>+X44/X8</f>
        <v>0.13863268362159856</v>
      </c>
    </row>
    <row r="47" spans="2:24" s="7" customFormat="1" x14ac:dyDescent="0.2">
      <c r="B47" s="18"/>
      <c r="C47" s="14"/>
      <c r="D47" s="19"/>
      <c r="E47" s="19"/>
      <c r="F47" s="19"/>
      <c r="G47" s="19"/>
      <c r="H47" s="19"/>
      <c r="I47" s="19"/>
      <c r="J47" s="19"/>
      <c r="K47" s="19"/>
      <c r="L47" s="19"/>
      <c r="M47" s="19"/>
      <c r="N47" s="19"/>
    </row>
    <row r="48" spans="2:24" x14ac:dyDescent="0.2">
      <c r="B48" s="2" t="s">
        <v>24</v>
      </c>
      <c r="C48" s="12"/>
      <c r="D48" s="159">
        <f>+-'Historical Financials'!CB80</f>
        <v>-448</v>
      </c>
      <c r="E48" s="159">
        <f>+-'Historical Financials'!CC80</f>
        <v>-826</v>
      </c>
      <c r="F48" s="159">
        <f>+-'Historical Financials'!CD80</f>
        <v>-509</v>
      </c>
      <c r="G48" s="159">
        <f>+-'Historical Financials'!CE80</f>
        <v>-534</v>
      </c>
      <c r="H48" s="159">
        <f>+-'Historical Financials'!CF80</f>
        <v>126</v>
      </c>
      <c r="I48" s="159">
        <f>+-'Historical Financials'!CG80</f>
        <v>-677</v>
      </c>
      <c r="J48" s="159">
        <f>+-'Historical Financials'!CH80</f>
        <v>-1096</v>
      </c>
      <c r="K48" s="12">
        <f t="shared" ref="K48:U48" si="32">+MAX(K49*AVERAGE(J66),0)</f>
        <v>0</v>
      </c>
      <c r="L48" s="12">
        <f t="shared" si="32"/>
        <v>0</v>
      </c>
      <c r="M48" s="12">
        <f t="shared" si="32"/>
        <v>0</v>
      </c>
      <c r="N48" s="12">
        <f t="shared" si="32"/>
        <v>0</v>
      </c>
      <c r="O48" s="12">
        <f t="shared" si="32"/>
        <v>0</v>
      </c>
      <c r="P48" s="12">
        <f t="shared" si="32"/>
        <v>0</v>
      </c>
      <c r="Q48" s="12">
        <f t="shared" si="32"/>
        <v>0</v>
      </c>
      <c r="R48" s="12">
        <f t="shared" si="32"/>
        <v>0</v>
      </c>
      <c r="S48" s="12">
        <f t="shared" si="32"/>
        <v>0</v>
      </c>
      <c r="T48" s="12">
        <f t="shared" si="32"/>
        <v>0</v>
      </c>
      <c r="U48" s="12">
        <f t="shared" si="32"/>
        <v>0</v>
      </c>
      <c r="W48" s="178">
        <v>0</v>
      </c>
      <c r="X48" s="27">
        <f>+J48</f>
        <v>-1096</v>
      </c>
    </row>
    <row r="49" spans="2:24" s="7" customFormat="1" x14ac:dyDescent="0.2">
      <c r="B49" s="13" t="s">
        <v>25</v>
      </c>
      <c r="C49" s="14"/>
      <c r="D49" s="22" t="s">
        <v>26</v>
      </c>
      <c r="E49" s="22" t="s">
        <v>26</v>
      </c>
      <c r="F49" s="22" t="s">
        <v>26</v>
      </c>
      <c r="G49" s="22" t="s">
        <v>26</v>
      </c>
      <c r="H49" s="22" t="s">
        <v>26</v>
      </c>
      <c r="I49" s="22" t="s">
        <v>26</v>
      </c>
      <c r="J49" s="22" t="s">
        <v>26</v>
      </c>
      <c r="K49" s="148">
        <v>0</v>
      </c>
      <c r="L49" s="148">
        <v>0</v>
      </c>
      <c r="M49" s="148">
        <v>0</v>
      </c>
      <c r="N49" s="148">
        <v>0</v>
      </c>
      <c r="O49" s="148">
        <v>0</v>
      </c>
      <c r="P49" s="148">
        <v>0</v>
      </c>
      <c r="Q49" s="148">
        <v>0</v>
      </c>
      <c r="R49" s="148">
        <v>0</v>
      </c>
      <c r="S49" s="148">
        <v>0</v>
      </c>
      <c r="T49" s="148">
        <v>0</v>
      </c>
      <c r="U49" s="148">
        <v>0</v>
      </c>
      <c r="W49" s="22" t="s">
        <v>26</v>
      </c>
      <c r="X49" s="22" t="s">
        <v>26</v>
      </c>
    </row>
    <row r="50" spans="2:24" s="7" customFormat="1" x14ac:dyDescent="0.2">
      <c r="B50" s="13"/>
      <c r="C50" s="14"/>
      <c r="D50" s="22"/>
      <c r="E50" s="22"/>
      <c r="F50" s="22"/>
      <c r="G50" s="22"/>
      <c r="H50" s="17"/>
      <c r="I50" s="17"/>
      <c r="J50" s="17"/>
      <c r="K50" s="17"/>
      <c r="L50" s="17"/>
      <c r="M50" s="19"/>
      <c r="N50" s="19"/>
      <c r="O50" s="19"/>
      <c r="P50" s="19"/>
      <c r="Q50" s="19"/>
      <c r="R50" s="19"/>
      <c r="S50" s="19"/>
      <c r="T50" s="19"/>
      <c r="U50" s="19"/>
    </row>
    <row r="51" spans="2:24" x14ac:dyDescent="0.2">
      <c r="B51" s="2" t="s">
        <v>27</v>
      </c>
      <c r="C51" s="12"/>
      <c r="D51" s="12">
        <f t="shared" ref="D51:U51" si="33">+(D16-D48)*D52</f>
        <v>5072.2000000000007</v>
      </c>
      <c r="E51" s="12">
        <f t="shared" si="33"/>
        <v>6072.4000000000005</v>
      </c>
      <c r="F51" s="12">
        <f t="shared" si="33"/>
        <v>6636</v>
      </c>
      <c r="G51" s="12">
        <f t="shared" si="33"/>
        <v>9457.4</v>
      </c>
      <c r="H51" s="12">
        <f t="shared" si="33"/>
        <v>6686</v>
      </c>
      <c r="I51" s="12">
        <f t="shared" si="33"/>
        <v>10550</v>
      </c>
      <c r="J51" s="12">
        <f t="shared" si="33"/>
        <v>13811.095817725882</v>
      </c>
      <c r="K51" s="12">
        <f t="shared" si="33"/>
        <v>15109.583496273714</v>
      </c>
      <c r="L51" s="12">
        <f t="shared" si="33"/>
        <v>18297.051996101156</v>
      </c>
      <c r="M51" s="12">
        <f t="shared" si="33"/>
        <v>21824.711351315662</v>
      </c>
      <c r="N51" s="12">
        <f t="shared" si="33"/>
        <v>25665.846897596832</v>
      </c>
      <c r="O51" s="12">
        <f t="shared" si="33"/>
        <v>29833.851185565843</v>
      </c>
      <c r="P51" s="12">
        <f t="shared" si="33"/>
        <v>34339.829664421122</v>
      </c>
      <c r="Q51" s="12">
        <f t="shared" si="33"/>
        <v>39192.117927614854</v>
      </c>
      <c r="R51" s="12">
        <f t="shared" si="33"/>
        <v>44395.794226638049</v>
      </c>
      <c r="S51" s="12">
        <f t="shared" si="33"/>
        <v>49952.198989368131</v>
      </c>
      <c r="T51" s="12">
        <f t="shared" si="33"/>
        <v>55458.474425781067</v>
      </c>
      <c r="U51" s="12">
        <f t="shared" si="33"/>
        <v>61307.138391207322</v>
      </c>
      <c r="W51" s="12">
        <f>+(W16-W48)*W52</f>
        <v>8381.3883358706589</v>
      </c>
      <c r="X51" s="12">
        <f>+(X16-X48)*X52</f>
        <v>9602.9000159749194</v>
      </c>
    </row>
    <row r="52" spans="2:24" x14ac:dyDescent="0.2">
      <c r="B52" s="13" t="s">
        <v>28</v>
      </c>
      <c r="C52" s="12"/>
      <c r="D52" s="148">
        <v>0.2</v>
      </c>
      <c r="E52" s="147">
        <f t="shared" ref="E52:U52" si="34">D52</f>
        <v>0.2</v>
      </c>
      <c r="F52" s="147">
        <f t="shared" si="34"/>
        <v>0.2</v>
      </c>
      <c r="G52" s="147">
        <f t="shared" si="34"/>
        <v>0.2</v>
      </c>
      <c r="H52" s="147">
        <f t="shared" si="34"/>
        <v>0.2</v>
      </c>
      <c r="I52" s="147">
        <f t="shared" si="34"/>
        <v>0.2</v>
      </c>
      <c r="J52" s="147">
        <f t="shared" si="34"/>
        <v>0.2</v>
      </c>
      <c r="K52" s="147">
        <f t="shared" si="34"/>
        <v>0.2</v>
      </c>
      <c r="L52" s="147">
        <f t="shared" si="34"/>
        <v>0.2</v>
      </c>
      <c r="M52" s="147">
        <f t="shared" si="34"/>
        <v>0.2</v>
      </c>
      <c r="N52" s="147">
        <f t="shared" si="34"/>
        <v>0.2</v>
      </c>
      <c r="O52" s="147">
        <f t="shared" si="34"/>
        <v>0.2</v>
      </c>
      <c r="P52" s="147">
        <f t="shared" si="34"/>
        <v>0.2</v>
      </c>
      <c r="Q52" s="147">
        <f t="shared" si="34"/>
        <v>0.2</v>
      </c>
      <c r="R52" s="147">
        <f t="shared" si="34"/>
        <v>0.2</v>
      </c>
      <c r="S52" s="147">
        <f t="shared" si="34"/>
        <v>0.2</v>
      </c>
      <c r="T52" s="147">
        <f t="shared" si="34"/>
        <v>0.2</v>
      </c>
      <c r="U52" s="147">
        <f t="shared" si="34"/>
        <v>0.2</v>
      </c>
      <c r="W52" s="251">
        <f>_xll.ciqfunctions.udf.CIQ($B$2, "IQ_EFFECTIVE_TAX_EST", "FY2024")/100</f>
        <v>0.1272857</v>
      </c>
      <c r="X52" s="251">
        <f>_xll.ciqfunctions.udf.CIQ($B$2, "IQ_EFFECTIVE_TAX_EST", "FY2025")/100</f>
        <v>0.12896299999999999</v>
      </c>
    </row>
    <row r="53" spans="2:24" x14ac:dyDescent="0.2">
      <c r="B53" s="13"/>
      <c r="C53" s="12"/>
      <c r="D53" s="17"/>
      <c r="E53" s="19"/>
      <c r="F53" s="19"/>
      <c r="G53" s="19"/>
      <c r="H53" s="19"/>
      <c r="I53" s="19"/>
      <c r="J53" s="19"/>
      <c r="K53" s="19"/>
      <c r="L53" s="19"/>
      <c r="M53" s="19"/>
      <c r="N53" s="19"/>
      <c r="O53" s="19"/>
      <c r="P53" s="19"/>
      <c r="Q53" s="19"/>
      <c r="R53" s="19"/>
      <c r="S53" s="19"/>
      <c r="T53" s="19"/>
      <c r="U53" s="19"/>
    </row>
    <row r="54" spans="2:24" s="152" customFormat="1" x14ac:dyDescent="0.2">
      <c r="B54" s="170" t="s">
        <v>30</v>
      </c>
      <c r="C54" s="150"/>
      <c r="D54" s="151">
        <f t="shared" ref="D54:R54" si="35">+D44-D48-D51</f>
        <v>10689.8</v>
      </c>
      <c r="E54" s="151">
        <f t="shared" si="35"/>
        <v>14376.599999999999</v>
      </c>
      <c r="F54" s="151">
        <f t="shared" si="35"/>
        <v>17688</v>
      </c>
      <c r="G54" s="151">
        <f t="shared" si="35"/>
        <v>26551.599999999999</v>
      </c>
      <c r="H54" s="151">
        <f t="shared" si="35"/>
        <v>3394</v>
      </c>
      <c r="I54" s="151">
        <f t="shared" si="35"/>
        <v>25274</v>
      </c>
      <c r="J54" s="151">
        <f t="shared" si="35"/>
        <v>32705.692279885014</v>
      </c>
      <c r="K54" s="151">
        <f t="shared" si="35"/>
        <v>33819.979823191963</v>
      </c>
      <c r="L54" s="151">
        <f t="shared" si="35"/>
        <v>47923.791871526322</v>
      </c>
      <c r="M54" s="151">
        <f t="shared" si="35"/>
        <v>62094.05212236513</v>
      </c>
      <c r="N54" s="151">
        <f t="shared" si="35"/>
        <v>80442.765016330668</v>
      </c>
      <c r="O54" s="151">
        <f t="shared" si="35"/>
        <v>100693.7101685004</v>
      </c>
      <c r="P54" s="151">
        <f t="shared" si="35"/>
        <v>116764.01895855027</v>
      </c>
      <c r="Q54" s="151">
        <f t="shared" si="35"/>
        <v>133199.78667301551</v>
      </c>
      <c r="R54" s="151">
        <f t="shared" si="35"/>
        <v>150424.77405187784</v>
      </c>
      <c r="S54" s="151">
        <f>+S44-S48-S51</f>
        <v>168921.9503441487</v>
      </c>
      <c r="T54" s="151">
        <f>+T44-T48-T51</f>
        <v>187849.82030471927</v>
      </c>
      <c r="U54" s="151">
        <f>+U44-U48-U51</f>
        <v>208244.72784128907</v>
      </c>
      <c r="W54" s="151">
        <f>+W44-W48-W51</f>
        <v>34018.542554129337</v>
      </c>
      <c r="X54" s="151">
        <f>+X44-X48-X51</f>
        <v>17421.343824025076</v>
      </c>
    </row>
    <row r="55" spans="2:24" s="7" customFormat="1" x14ac:dyDescent="0.2">
      <c r="B55" s="13" t="s">
        <v>17</v>
      </c>
      <c r="C55" s="14"/>
      <c r="D55" s="15"/>
      <c r="E55" s="145">
        <f>+E54/D54-1</f>
        <v>0.34488952085165292</v>
      </c>
      <c r="F55" s="145">
        <f t="shared" ref="F55:U55" si="36">+F54/E54-1</f>
        <v>0.23033262384708486</v>
      </c>
      <c r="G55" s="145">
        <f t="shared" si="36"/>
        <v>0.50110809588421512</v>
      </c>
      <c r="H55" s="145">
        <f t="shared" si="36"/>
        <v>-0.87217342834330136</v>
      </c>
      <c r="I55" s="145">
        <f t="shared" si="36"/>
        <v>6.4466705951679435</v>
      </c>
      <c r="J55" s="145">
        <f t="shared" si="36"/>
        <v>0.29404495845078005</v>
      </c>
      <c r="K55" s="145">
        <f t="shared" si="36"/>
        <v>3.4070140872458188E-2</v>
      </c>
      <c r="L55" s="145">
        <f t="shared" si="36"/>
        <v>0.41702603378440539</v>
      </c>
      <c r="M55" s="145">
        <f t="shared" si="36"/>
        <v>0.29568320238152923</v>
      </c>
      <c r="N55" s="145">
        <f t="shared" si="36"/>
        <v>0.29549871955218521</v>
      </c>
      <c r="O55" s="145">
        <f t="shared" si="36"/>
        <v>0.25174352408272638</v>
      </c>
      <c r="P55" s="145">
        <f t="shared" si="36"/>
        <v>0.15959595453537156</v>
      </c>
      <c r="Q55" s="145">
        <f t="shared" si="36"/>
        <v>0.14076055158995282</v>
      </c>
      <c r="R55" s="145">
        <f t="shared" si="36"/>
        <v>0.12931692917156812</v>
      </c>
      <c r="S55" s="145">
        <f t="shared" si="36"/>
        <v>0.1229662893553134</v>
      </c>
      <c r="T55" s="145">
        <f t="shared" si="36"/>
        <v>0.11205097929551711</v>
      </c>
      <c r="U55" s="145">
        <f t="shared" si="36"/>
        <v>0.1085702797239112</v>
      </c>
      <c r="W55" s="145">
        <f>+W54/I54-1</f>
        <v>0.34598965554045025</v>
      </c>
      <c r="X55" s="145">
        <f>+X54/W54-1</f>
        <v>-0.48788682535988337</v>
      </c>
    </row>
    <row r="56" spans="2:24" s="7" customFormat="1" x14ac:dyDescent="0.2">
      <c r="B56" s="13"/>
      <c r="C56" s="14"/>
      <c r="D56" s="15"/>
      <c r="E56" s="145"/>
      <c r="F56" s="145"/>
      <c r="G56" s="145"/>
      <c r="H56" s="145"/>
      <c r="I56" s="145"/>
      <c r="J56" s="145"/>
      <c r="K56" s="145"/>
      <c r="L56" s="145"/>
      <c r="M56" s="145"/>
      <c r="N56" s="145"/>
      <c r="O56" s="145"/>
      <c r="P56" s="145"/>
      <c r="Q56" s="145"/>
      <c r="R56" s="145"/>
      <c r="S56" s="145"/>
      <c r="T56" s="145"/>
      <c r="U56" s="145"/>
      <c r="W56" s="145"/>
      <c r="X56" s="145"/>
    </row>
    <row r="57" spans="2:24" s="7" customFormat="1" x14ac:dyDescent="0.2">
      <c r="B57" s="21" t="s">
        <v>19</v>
      </c>
      <c r="C57" s="14"/>
      <c r="D57" s="15"/>
      <c r="E57" s="145"/>
      <c r="F57" s="145"/>
      <c r="G57" s="145"/>
      <c r="H57" s="145"/>
      <c r="I57" s="145"/>
      <c r="J57" s="145"/>
      <c r="K57" s="145"/>
      <c r="L57" s="145"/>
      <c r="M57" s="145"/>
      <c r="N57" s="145"/>
      <c r="O57" s="145"/>
      <c r="P57" s="145"/>
      <c r="Q57" s="145"/>
      <c r="R57" s="145"/>
      <c r="S57" s="145"/>
      <c r="T57" s="145"/>
      <c r="U57" s="145"/>
      <c r="W57" s="145"/>
      <c r="X57" s="145"/>
    </row>
    <row r="58" spans="2:24" s="7" customFormat="1" x14ac:dyDescent="0.2">
      <c r="B58" s="13" t="s">
        <v>292</v>
      </c>
      <c r="C58" s="14"/>
      <c r="D58" s="14">
        <f t="shared" ref="D58:U58" si="37">+D16-D48-D51</f>
        <v>20288.8</v>
      </c>
      <c r="E58" s="14">
        <f t="shared" si="37"/>
        <v>24289.599999999999</v>
      </c>
      <c r="F58" s="14">
        <f t="shared" si="37"/>
        <v>26544</v>
      </c>
      <c r="G58" s="14">
        <f t="shared" si="37"/>
        <v>37829.599999999999</v>
      </c>
      <c r="H58" s="14">
        <f t="shared" si="37"/>
        <v>26744</v>
      </c>
      <c r="I58" s="14">
        <f t="shared" si="37"/>
        <v>42200</v>
      </c>
      <c r="J58" s="14">
        <f t="shared" si="37"/>
        <v>55244.383270903527</v>
      </c>
      <c r="K58" s="14">
        <f t="shared" si="37"/>
        <v>60438.333985094854</v>
      </c>
      <c r="L58" s="14">
        <f t="shared" si="37"/>
        <v>73188.207984404624</v>
      </c>
      <c r="M58" s="14">
        <f t="shared" si="37"/>
        <v>87298.845405262633</v>
      </c>
      <c r="N58" s="14">
        <f t="shared" si="37"/>
        <v>102663.38759038733</v>
      </c>
      <c r="O58" s="14">
        <f t="shared" si="37"/>
        <v>119335.40474226337</v>
      </c>
      <c r="P58" s="14">
        <f t="shared" si="37"/>
        <v>137359.31865768449</v>
      </c>
      <c r="Q58" s="14">
        <f t="shared" si="37"/>
        <v>156768.47171045942</v>
      </c>
      <c r="R58" s="14">
        <f t="shared" si="37"/>
        <v>177583.17690655219</v>
      </c>
      <c r="S58" s="14">
        <f t="shared" si="37"/>
        <v>199808.79595747252</v>
      </c>
      <c r="T58" s="14">
        <f t="shared" si="37"/>
        <v>221833.89770312427</v>
      </c>
      <c r="U58" s="14">
        <f t="shared" si="37"/>
        <v>245228.55356482929</v>
      </c>
      <c r="W58" s="14">
        <f>+W16-W48-W51</f>
        <v>57465.665464129335</v>
      </c>
      <c r="X58" s="14">
        <f>+X16-X48-X51</f>
        <v>64859.542824025084</v>
      </c>
    </row>
    <row r="59" spans="2:24" s="7" customFormat="1" x14ac:dyDescent="0.2">
      <c r="B59" s="16" t="s">
        <v>17</v>
      </c>
      <c r="C59" s="14"/>
      <c r="D59" s="15"/>
      <c r="E59" s="145">
        <f t="shared" ref="E59:U59" si="38">+E58/D58-1</f>
        <v>0.19719253972635142</v>
      </c>
      <c r="F59" s="145">
        <f t="shared" si="38"/>
        <v>9.2813385152493266E-2</v>
      </c>
      <c r="G59" s="145">
        <f t="shared" si="38"/>
        <v>0.42516576250753468</v>
      </c>
      <c r="H59" s="145">
        <f t="shared" si="38"/>
        <v>-0.29304037050352105</v>
      </c>
      <c r="I59" s="145">
        <f t="shared" si="38"/>
        <v>0.57792402034101098</v>
      </c>
      <c r="J59" s="145">
        <f t="shared" si="38"/>
        <v>0.30910860831524944</v>
      </c>
      <c r="K59" s="145">
        <f t="shared" si="38"/>
        <v>9.4017715587874306E-2</v>
      </c>
      <c r="L59" s="145">
        <f t="shared" si="38"/>
        <v>0.21095674150207566</v>
      </c>
      <c r="M59" s="145">
        <f t="shared" si="38"/>
        <v>0.19279932942018174</v>
      </c>
      <c r="N59" s="145">
        <f t="shared" si="38"/>
        <v>0.17599937449113701</v>
      </c>
      <c r="O59" s="145">
        <f t="shared" si="38"/>
        <v>0.16239496419497756</v>
      </c>
      <c r="P59" s="145">
        <f t="shared" si="38"/>
        <v>0.15103576306083322</v>
      </c>
      <c r="Q59" s="145">
        <f t="shared" si="38"/>
        <v>0.14130204810599567</v>
      </c>
      <c r="R59" s="145">
        <f t="shared" si="38"/>
        <v>0.1327735415736917</v>
      </c>
      <c r="S59" s="145">
        <f t="shared" si="38"/>
        <v>0.12515610677815436</v>
      </c>
      <c r="T59" s="145">
        <f t="shared" si="38"/>
        <v>0.11023089168877021</v>
      </c>
      <c r="U59" s="145">
        <f t="shared" si="38"/>
        <v>0.10546023896227807</v>
      </c>
      <c r="W59" s="145">
        <f>+W58/I58-1</f>
        <v>0.36174562711206959</v>
      </c>
      <c r="X59" s="145">
        <f>+X58/W58-1</f>
        <v>0.12866600082289281</v>
      </c>
    </row>
    <row r="60" spans="2:24" s="7" customFormat="1" x14ac:dyDescent="0.2">
      <c r="B60" s="18"/>
      <c r="C60" s="14"/>
      <c r="D60" s="19"/>
      <c r="E60" s="19"/>
      <c r="F60" s="19"/>
      <c r="G60" s="19"/>
      <c r="H60" s="19"/>
      <c r="I60" s="19"/>
      <c r="J60" s="19"/>
      <c r="K60" s="19"/>
      <c r="L60" s="19"/>
      <c r="M60" s="19"/>
      <c r="N60" s="19"/>
    </row>
    <row r="61" spans="2:24" x14ac:dyDescent="0.2">
      <c r="B61" s="23" t="s">
        <v>31</v>
      </c>
      <c r="C61" s="12"/>
      <c r="D61" s="159">
        <f>+'Historical Financials'!CB103</f>
        <v>4153</v>
      </c>
      <c r="E61" s="159">
        <f>+'Historical Financials'!CC103</f>
        <v>4835</v>
      </c>
      <c r="F61" s="159">
        <f>+'Historical Financials'!CD103</f>
        <v>6536</v>
      </c>
      <c r="G61" s="159">
        <f>+'Historical Financials'!CE103</f>
        <v>9163</v>
      </c>
      <c r="H61" s="159">
        <f>+'Historical Financials'!CF103</f>
        <v>11991</v>
      </c>
      <c r="I61" s="159">
        <f>+'Historical Financials'!CG103</f>
        <v>14027</v>
      </c>
      <c r="J61" s="159">
        <f>+'Historical Financials'!CH103</f>
        <v>12428</v>
      </c>
      <c r="K61" s="27">
        <v>0</v>
      </c>
      <c r="L61" s="27">
        <v>0</v>
      </c>
      <c r="M61" s="27">
        <v>0</v>
      </c>
      <c r="N61" s="27">
        <v>0</v>
      </c>
      <c r="O61" s="27">
        <v>0</v>
      </c>
      <c r="P61" s="27">
        <v>0</v>
      </c>
      <c r="Q61" s="27">
        <v>0</v>
      </c>
      <c r="R61" s="27">
        <v>0</v>
      </c>
      <c r="S61" s="27">
        <v>0</v>
      </c>
      <c r="T61" s="27">
        <v>0</v>
      </c>
      <c r="U61" s="27">
        <v>0</v>
      </c>
    </row>
    <row r="62" spans="2:24" x14ac:dyDescent="0.2">
      <c r="B62" s="23" t="s">
        <v>305</v>
      </c>
      <c r="C62" s="12"/>
      <c r="D62" s="159">
        <f>+'Historical Financials'!CB104</f>
        <v>1310.2000000000003</v>
      </c>
      <c r="E62" s="159">
        <f>+'Historical Financials'!CC104</f>
        <v>890.40000000000055</v>
      </c>
      <c r="F62" s="159">
        <f>'Historical Financials'!CD104</f>
        <v>2407</v>
      </c>
      <c r="G62" s="159">
        <f>'Historical Financials'!CE104</f>
        <v>932.40000000000055</v>
      </c>
      <c r="H62" s="159">
        <f>'Historical Financials'!CF104</f>
        <v>279.00000000000023</v>
      </c>
      <c r="I62" s="159">
        <f>'Historical Financials'!CG104</f>
        <v>3943.0000000000005</v>
      </c>
      <c r="J62" s="159">
        <f>'Historical Financials'!CH104</f>
        <v>1425.4000000000005</v>
      </c>
      <c r="K62" s="27">
        <v>0</v>
      </c>
      <c r="L62" s="27">
        <v>0</v>
      </c>
      <c r="M62" s="27">
        <v>0</v>
      </c>
      <c r="N62" s="27">
        <v>0</v>
      </c>
      <c r="O62" s="27">
        <v>0</v>
      </c>
      <c r="P62" s="27">
        <v>0</v>
      </c>
      <c r="Q62" s="27">
        <v>0</v>
      </c>
      <c r="R62" s="27">
        <v>0</v>
      </c>
      <c r="S62" s="27">
        <v>0</v>
      </c>
      <c r="T62" s="27">
        <v>0</v>
      </c>
      <c r="U62" s="27">
        <v>0</v>
      </c>
    </row>
    <row r="63" spans="2:24" ht="13.5" x14ac:dyDescent="0.35">
      <c r="B63" s="23" t="s">
        <v>33</v>
      </c>
      <c r="C63" s="12"/>
      <c r="D63" s="25">
        <f t="shared" ref="D63:I63" si="39">D64-D54-SUM(D61:D62)</f>
        <v>-792</v>
      </c>
      <c r="E63" s="25">
        <f t="shared" si="39"/>
        <v>557.00000000000091</v>
      </c>
      <c r="F63" s="25">
        <f t="shared" si="39"/>
        <v>-3602</v>
      </c>
      <c r="G63" s="25">
        <f t="shared" si="39"/>
        <v>1792</v>
      </c>
      <c r="H63" s="25">
        <f t="shared" si="39"/>
        <v>2775</v>
      </c>
      <c r="I63" s="25">
        <f t="shared" si="39"/>
        <v>-234</v>
      </c>
      <c r="J63" s="25">
        <f>J64-J54-SUM(J61:J62)</f>
        <v>-557.00000000000728</v>
      </c>
      <c r="K63" s="28">
        <v>0</v>
      </c>
      <c r="L63" s="28">
        <v>0</v>
      </c>
      <c r="M63" s="28">
        <v>0</v>
      </c>
      <c r="N63" s="28">
        <v>0</v>
      </c>
      <c r="O63" s="28">
        <v>0</v>
      </c>
      <c r="P63" s="28">
        <v>0</v>
      </c>
      <c r="Q63" s="28">
        <v>0</v>
      </c>
      <c r="R63" s="28">
        <v>0</v>
      </c>
      <c r="S63" s="28">
        <v>0</v>
      </c>
      <c r="T63" s="28">
        <v>0</v>
      </c>
      <c r="U63" s="28">
        <v>0</v>
      </c>
    </row>
    <row r="64" spans="2:24" s="1" customFormat="1" x14ac:dyDescent="0.2">
      <c r="B64" s="149" t="s">
        <v>34</v>
      </c>
      <c r="C64" s="151"/>
      <c r="D64" s="153">
        <f>+'Historical Financials'!CB106</f>
        <v>15361</v>
      </c>
      <c r="E64" s="153">
        <f>+'Historical Financials'!CC106</f>
        <v>20659</v>
      </c>
      <c r="F64" s="153">
        <f>+'Historical Financials'!CD106</f>
        <v>23029</v>
      </c>
      <c r="G64" s="153">
        <f>+'Historical Financials'!CE106</f>
        <v>38439</v>
      </c>
      <c r="H64" s="153">
        <f>+'Historical Financials'!CF106</f>
        <v>18439</v>
      </c>
      <c r="I64" s="153">
        <f>+'Historical Financials'!CG106</f>
        <v>43010</v>
      </c>
      <c r="J64" s="153">
        <f>+'Historical Financials'!CH106</f>
        <v>46002.092279885008</v>
      </c>
      <c r="K64" s="151">
        <f t="shared" ref="K64:R64" si="40">+K54+SUM(K61:K63)</f>
        <v>33819.979823191963</v>
      </c>
      <c r="L64" s="151">
        <f t="shared" si="40"/>
        <v>47923.791871526322</v>
      </c>
      <c r="M64" s="151">
        <f t="shared" si="40"/>
        <v>62094.05212236513</v>
      </c>
      <c r="N64" s="151">
        <f t="shared" si="40"/>
        <v>80442.765016330668</v>
      </c>
      <c r="O64" s="151">
        <f t="shared" si="40"/>
        <v>100693.7101685004</v>
      </c>
      <c r="P64" s="151">
        <f t="shared" si="40"/>
        <v>116764.01895855027</v>
      </c>
      <c r="Q64" s="151">
        <f t="shared" si="40"/>
        <v>133199.78667301551</v>
      </c>
      <c r="R64" s="151">
        <f t="shared" si="40"/>
        <v>150424.77405187784</v>
      </c>
      <c r="S64" s="151">
        <f>+S54+SUM(S61:S63)</f>
        <v>168921.9503441487</v>
      </c>
      <c r="T64" s="151">
        <f>+T54+SUM(T61:T63)</f>
        <v>187849.82030471927</v>
      </c>
      <c r="U64" s="151">
        <f>+U54+SUM(U61:U63)</f>
        <v>208244.72784128907</v>
      </c>
      <c r="W64" s="248">
        <f>_xll.ciqfunctions.udf.CIQ($B$2, "IQ_CASH_OPER_EST", "FY2024")-W41</f>
        <v>48672.684799999995</v>
      </c>
      <c r="X64" s="248">
        <f>_xll.ciqfunctions.udf.CIQ($B$2, "IQ_CASH_OPER_EST", "FY2025")-X41</f>
        <v>34289.934029999989</v>
      </c>
    </row>
    <row r="65" spans="2:34" x14ac:dyDescent="0.2">
      <c r="C65" s="12"/>
      <c r="D65" s="12"/>
      <c r="E65" s="12"/>
      <c r="F65" s="12"/>
      <c r="G65" s="12"/>
      <c r="H65" s="12"/>
      <c r="I65" s="12"/>
      <c r="J65" s="12"/>
      <c r="K65" s="12"/>
      <c r="L65" s="12"/>
      <c r="M65" s="12"/>
      <c r="N65" s="12"/>
    </row>
    <row r="66" spans="2:34" outlineLevel="1" x14ac:dyDescent="0.2">
      <c r="B66" s="23" t="s">
        <v>35</v>
      </c>
      <c r="C66" s="30"/>
      <c r="D66" s="165">
        <f>+'Historical Financials'!CB117</f>
        <v>0</v>
      </c>
      <c r="E66" s="165">
        <f>+'Historical Financials'!CC117</f>
        <v>0</v>
      </c>
      <c r="F66" s="165">
        <f>+'Historical Financials'!CD117</f>
        <v>0</v>
      </c>
      <c r="G66" s="165">
        <f>+'Historical Financials'!CE117</f>
        <v>0</v>
      </c>
      <c r="H66" s="165">
        <f>+'Historical Financials'!CF117</f>
        <v>9923</v>
      </c>
      <c r="I66" s="165">
        <f>+'Historical Financials'!CG117</f>
        <v>18385</v>
      </c>
      <c r="J66" s="165">
        <f>+'Historical Financials'!CH117</f>
        <v>28823</v>
      </c>
      <c r="K66" s="12">
        <f t="shared" ref="K66:Q66" si="41">+K68+K67</f>
        <v>0</v>
      </c>
      <c r="L66" s="12">
        <f t="shared" si="41"/>
        <v>0</v>
      </c>
      <c r="M66" s="12">
        <f t="shared" si="41"/>
        <v>0</v>
      </c>
      <c r="N66" s="12">
        <f t="shared" si="41"/>
        <v>0</v>
      </c>
      <c r="O66" s="12">
        <f t="shared" si="41"/>
        <v>0</v>
      </c>
      <c r="P66" s="12">
        <f t="shared" si="41"/>
        <v>0</v>
      </c>
      <c r="Q66" s="12">
        <f t="shared" si="41"/>
        <v>0</v>
      </c>
      <c r="R66" s="12">
        <f>+R68+R67</f>
        <v>0</v>
      </c>
      <c r="S66" s="12">
        <f>+S68+S67</f>
        <v>0</v>
      </c>
      <c r="T66" s="12">
        <f>+T68+T67</f>
        <v>0</v>
      </c>
      <c r="U66" s="12">
        <f>+U68+U67</f>
        <v>0</v>
      </c>
    </row>
    <row r="67" spans="2:34" ht="13.5" outlineLevel="1" x14ac:dyDescent="0.35">
      <c r="B67" s="2" t="s">
        <v>36</v>
      </c>
      <c r="C67" s="30"/>
      <c r="D67" s="166">
        <f>+'Historical Financials'!CB118</f>
        <v>41114</v>
      </c>
      <c r="E67" s="166">
        <f>+'Historical Financials'!CC118</f>
        <v>54855</v>
      </c>
      <c r="F67" s="166">
        <f>+'Historical Financials'!CD118</f>
        <v>61954</v>
      </c>
      <c r="G67" s="166">
        <f>+'Historical Financials'!CE118</f>
        <v>47998</v>
      </c>
      <c r="H67" s="166">
        <f>+'Historical Financials'!CF118</f>
        <v>40738</v>
      </c>
      <c r="I67" s="166">
        <f>+'Historical Financials'!CG118</f>
        <v>65403</v>
      </c>
      <c r="J67" s="166">
        <f>+'Historical Financials'!CH118</f>
        <v>77951.092279885008</v>
      </c>
      <c r="K67" s="31">
        <v>0</v>
      </c>
      <c r="L67" s="31">
        <f t="shared" ref="L67:U67" si="42">+K67*1.03</f>
        <v>0</v>
      </c>
      <c r="M67" s="31">
        <f t="shared" si="42"/>
        <v>0</v>
      </c>
      <c r="N67" s="31">
        <f t="shared" si="42"/>
        <v>0</v>
      </c>
      <c r="O67" s="31">
        <f t="shared" si="42"/>
        <v>0</v>
      </c>
      <c r="P67" s="31">
        <f t="shared" si="42"/>
        <v>0</v>
      </c>
      <c r="Q67" s="31">
        <f t="shared" si="42"/>
        <v>0</v>
      </c>
      <c r="R67" s="31">
        <f t="shared" si="42"/>
        <v>0</v>
      </c>
      <c r="S67" s="31">
        <f t="shared" si="42"/>
        <v>0</v>
      </c>
      <c r="T67" s="31">
        <f t="shared" si="42"/>
        <v>0</v>
      </c>
      <c r="U67" s="31">
        <f t="shared" si="42"/>
        <v>0</v>
      </c>
    </row>
    <row r="68" spans="2:34" x14ac:dyDescent="0.2">
      <c r="B68" s="24" t="s">
        <v>37</v>
      </c>
      <c r="C68" s="30">
        <f t="shared" ref="C68:J68" si="43">+C66-C67</f>
        <v>0</v>
      </c>
      <c r="D68" s="26">
        <f t="shared" si="43"/>
        <v>-41114</v>
      </c>
      <c r="E68" s="26">
        <f t="shared" si="43"/>
        <v>-54855</v>
      </c>
      <c r="F68" s="26">
        <f t="shared" si="43"/>
        <v>-61954</v>
      </c>
      <c r="G68" s="26">
        <f t="shared" si="43"/>
        <v>-47998</v>
      </c>
      <c r="H68" s="26">
        <f t="shared" si="43"/>
        <v>-30815</v>
      </c>
      <c r="I68" s="26">
        <f t="shared" si="43"/>
        <v>-47018</v>
      </c>
      <c r="J68" s="26">
        <f t="shared" si="43"/>
        <v>-49128.092279885008</v>
      </c>
      <c r="K68" s="12">
        <f t="shared" ref="K68:U68" si="44">K69*K30</f>
        <v>0</v>
      </c>
      <c r="L68" s="12">
        <f t="shared" si="44"/>
        <v>0</v>
      </c>
      <c r="M68" s="12">
        <f t="shared" si="44"/>
        <v>0</v>
      </c>
      <c r="N68" s="12">
        <f t="shared" si="44"/>
        <v>0</v>
      </c>
      <c r="O68" s="12">
        <f t="shared" si="44"/>
        <v>0</v>
      </c>
      <c r="P68" s="12">
        <f t="shared" si="44"/>
        <v>0</v>
      </c>
      <c r="Q68" s="12">
        <f t="shared" si="44"/>
        <v>0</v>
      </c>
      <c r="R68" s="12">
        <f t="shared" si="44"/>
        <v>0</v>
      </c>
      <c r="S68" s="12">
        <f t="shared" si="44"/>
        <v>0</v>
      </c>
      <c r="T68" s="12">
        <f t="shared" si="44"/>
        <v>0</v>
      </c>
      <c r="U68" s="12">
        <f t="shared" si="44"/>
        <v>0</v>
      </c>
      <c r="W68" s="250">
        <f>_xll.ciqfunctions.udf.CIQ($B$2, "IQ_NET_DEBT_EST", "FY2024")</f>
        <v>-49107.12758</v>
      </c>
      <c r="X68" s="250">
        <f>_xll.ciqfunctions.udf.CIQ($B$2, "IQ_NET_DEBT_EST", "FY2025")</f>
        <v>-57015.090779999999</v>
      </c>
    </row>
    <row r="69" spans="2:34" s="7" customFormat="1" x14ac:dyDescent="0.2">
      <c r="B69" s="98" t="s">
        <v>38</v>
      </c>
      <c r="C69" s="14"/>
      <c r="D69" s="32" t="str">
        <f t="shared" ref="D69:J69" si="45">IF(OR(D68&lt;0,D30&lt;0),"n/m",D68/D30)</f>
        <v>n/m</v>
      </c>
      <c r="E69" s="32" t="str">
        <f t="shared" si="45"/>
        <v>n/m</v>
      </c>
      <c r="F69" s="32" t="str">
        <f t="shared" si="45"/>
        <v>n/m</v>
      </c>
      <c r="G69" s="32" t="str">
        <f t="shared" si="45"/>
        <v>n/m</v>
      </c>
      <c r="H69" s="32" t="str">
        <f t="shared" si="45"/>
        <v>n/m</v>
      </c>
      <c r="I69" s="32" t="str">
        <f t="shared" si="45"/>
        <v>n/m</v>
      </c>
      <c r="J69" s="32" t="str">
        <f t="shared" si="45"/>
        <v>n/m</v>
      </c>
      <c r="K69" s="33">
        <v>0</v>
      </c>
      <c r="L69" s="34">
        <f t="shared" ref="L69:U69" si="46">K69</f>
        <v>0</v>
      </c>
      <c r="M69" s="34">
        <f t="shared" si="46"/>
        <v>0</v>
      </c>
      <c r="N69" s="34">
        <f t="shared" si="46"/>
        <v>0</v>
      </c>
      <c r="O69" s="34">
        <f t="shared" si="46"/>
        <v>0</v>
      </c>
      <c r="P69" s="34">
        <f t="shared" si="46"/>
        <v>0</v>
      </c>
      <c r="Q69" s="34">
        <f t="shared" si="46"/>
        <v>0</v>
      </c>
      <c r="R69" s="34">
        <f t="shared" si="46"/>
        <v>0</v>
      </c>
      <c r="S69" s="34">
        <f t="shared" si="46"/>
        <v>0</v>
      </c>
      <c r="T69" s="34">
        <f t="shared" si="46"/>
        <v>0</v>
      </c>
      <c r="U69" s="34">
        <f t="shared" si="46"/>
        <v>0</v>
      </c>
    </row>
    <row r="70" spans="2:34" x14ac:dyDescent="0.2">
      <c r="C70" s="12"/>
      <c r="D70" s="12"/>
      <c r="E70" s="12"/>
      <c r="F70" s="12"/>
      <c r="G70" s="12"/>
      <c r="H70" s="12"/>
      <c r="I70" s="12"/>
      <c r="J70" s="12"/>
      <c r="K70" s="12"/>
      <c r="L70" s="12"/>
      <c r="M70" s="12"/>
      <c r="N70" s="12"/>
    </row>
    <row r="71" spans="2:34" x14ac:dyDescent="0.2">
      <c r="B71" s="2" t="s">
        <v>39</v>
      </c>
      <c r="C71" s="12"/>
      <c r="D71" s="12"/>
      <c r="E71" s="12"/>
      <c r="F71" s="12"/>
      <c r="G71" s="12"/>
      <c r="H71" s="12"/>
      <c r="I71" s="12"/>
      <c r="J71" s="12"/>
      <c r="K71" s="12">
        <f t="shared" ref="K71:U71" si="47">K64+(K68-J68)</f>
        <v>82948.072103076964</v>
      </c>
      <c r="L71" s="12">
        <f t="shared" si="47"/>
        <v>47923.791871526322</v>
      </c>
      <c r="M71" s="12">
        <f t="shared" si="47"/>
        <v>62094.05212236513</v>
      </c>
      <c r="N71" s="12">
        <f t="shared" si="47"/>
        <v>80442.765016330668</v>
      </c>
      <c r="O71" s="12">
        <f t="shared" si="47"/>
        <v>100693.7101685004</v>
      </c>
      <c r="P71" s="12">
        <f t="shared" si="47"/>
        <v>116764.01895855027</v>
      </c>
      <c r="Q71" s="12">
        <f t="shared" si="47"/>
        <v>133199.78667301551</v>
      </c>
      <c r="R71" s="12">
        <f t="shared" si="47"/>
        <v>150424.77405187784</v>
      </c>
      <c r="S71" s="12">
        <f t="shared" si="47"/>
        <v>168921.9503441487</v>
      </c>
      <c r="T71" s="12">
        <f t="shared" si="47"/>
        <v>187849.82030471927</v>
      </c>
      <c r="U71" s="12">
        <f t="shared" si="47"/>
        <v>208244.72784128907</v>
      </c>
      <c r="W71" s="12">
        <f>W64+(W68-I68)</f>
        <v>46583.557219999995</v>
      </c>
      <c r="X71" s="12">
        <f>X64+(X68-W68)</f>
        <v>26381.970829999991</v>
      </c>
    </row>
    <row r="72" spans="2:34" x14ac:dyDescent="0.2">
      <c r="C72" s="12"/>
      <c r="D72" s="12"/>
      <c r="E72" s="12"/>
      <c r="F72" s="12"/>
      <c r="G72" s="12"/>
      <c r="H72" s="12"/>
      <c r="I72" s="12"/>
      <c r="J72" s="12"/>
      <c r="K72" s="12"/>
      <c r="L72" s="12"/>
      <c r="M72" s="12"/>
      <c r="N72" s="12"/>
    </row>
    <row r="73" spans="2:34" x14ac:dyDescent="0.2">
      <c r="B73" s="2" t="s">
        <v>40</v>
      </c>
      <c r="C73" s="12"/>
      <c r="D73" s="12"/>
      <c r="E73" s="12"/>
      <c r="F73" s="12"/>
      <c r="G73" s="12"/>
      <c r="H73" s="12"/>
      <c r="I73" s="12"/>
      <c r="J73" s="12"/>
      <c r="K73" s="12">
        <f t="shared" ref="K73:U73" si="48">J73+K71</f>
        <v>82948.072103076964</v>
      </c>
      <c r="L73" s="12">
        <f t="shared" si="48"/>
        <v>130871.86397460329</v>
      </c>
      <c r="M73" s="12">
        <f t="shared" si="48"/>
        <v>192965.9160969684</v>
      </c>
      <c r="N73" s="12">
        <f t="shared" si="48"/>
        <v>273408.6811132991</v>
      </c>
      <c r="O73" s="12">
        <f t="shared" si="48"/>
        <v>374102.39128179953</v>
      </c>
      <c r="P73" s="12">
        <f t="shared" si="48"/>
        <v>490866.41024034983</v>
      </c>
      <c r="Q73" s="12">
        <f t="shared" si="48"/>
        <v>624066.19691336527</v>
      </c>
      <c r="R73" s="12">
        <f t="shared" si="48"/>
        <v>774490.97096524318</v>
      </c>
      <c r="S73" s="12">
        <f t="shared" si="48"/>
        <v>943412.92130939185</v>
      </c>
      <c r="T73" s="12">
        <f t="shared" si="48"/>
        <v>1131262.7416141112</v>
      </c>
      <c r="U73" s="12">
        <f t="shared" si="48"/>
        <v>1339507.4694554002</v>
      </c>
      <c r="W73" s="12">
        <f>V73+W71</f>
        <v>46583.557219999995</v>
      </c>
      <c r="X73" s="12">
        <f>W73+X71</f>
        <v>72965.528049999994</v>
      </c>
    </row>
    <row r="74" spans="2:34" s="7" customFormat="1" x14ac:dyDescent="0.2">
      <c r="B74" s="13" t="s">
        <v>41</v>
      </c>
      <c r="C74" s="14"/>
      <c r="D74" s="19"/>
      <c r="E74" s="19"/>
      <c r="F74" s="19"/>
      <c r="G74" s="19"/>
      <c r="H74" s="19"/>
      <c r="I74" s="19"/>
      <c r="J74" s="19"/>
      <c r="K74" s="19">
        <f t="shared" ref="K74:R74" si="49">K73/$D$94</f>
        <v>5.4487719518077578E-2</v>
      </c>
      <c r="L74" s="19">
        <f t="shared" si="49"/>
        <v>8.596835630121491E-2</v>
      </c>
      <c r="M74" s="19">
        <f t="shared" si="49"/>
        <v>0.12675728858140003</v>
      </c>
      <c r="N74" s="19">
        <f t="shared" si="49"/>
        <v>0.1795992981222807</v>
      </c>
      <c r="O74" s="35">
        <f t="shared" si="49"/>
        <v>0.24574394136459571</v>
      </c>
      <c r="P74" s="19">
        <f t="shared" si="49"/>
        <v>0.3224450020825696</v>
      </c>
      <c r="Q74" s="19">
        <f t="shared" si="49"/>
        <v>0.40994254641473987</v>
      </c>
      <c r="R74" s="19">
        <f t="shared" si="49"/>
        <v>0.50875500448999966</v>
      </c>
      <c r="S74" s="19">
        <f>S73/$D$94</f>
        <v>0.61971806387685147</v>
      </c>
      <c r="T74" s="19">
        <f>T73/$D$94</f>
        <v>0.74311464273362682</v>
      </c>
      <c r="U74" s="19">
        <f>U73/$D$94</f>
        <v>0.87990842267385583</v>
      </c>
    </row>
    <row r="75" spans="2:34" x14ac:dyDescent="0.2">
      <c r="C75" s="12"/>
      <c r="D75" s="12"/>
      <c r="E75" s="12"/>
      <c r="F75" s="12"/>
      <c r="G75" s="12"/>
      <c r="H75" s="12"/>
      <c r="I75" s="12"/>
      <c r="J75" s="12"/>
      <c r="K75" s="12"/>
      <c r="L75" s="12"/>
      <c r="M75" s="12"/>
      <c r="N75" s="12"/>
    </row>
    <row r="76" spans="2:34" x14ac:dyDescent="0.2">
      <c r="B76" s="36" t="s">
        <v>42</v>
      </c>
      <c r="C76" s="12"/>
      <c r="D76" s="12"/>
      <c r="E76" s="12"/>
      <c r="F76" s="12"/>
      <c r="G76" s="12"/>
      <c r="H76" s="12"/>
      <c r="I76" s="12"/>
      <c r="J76" s="12"/>
      <c r="K76" s="12"/>
      <c r="L76" s="12"/>
      <c r="M76" s="12"/>
      <c r="N76" s="12"/>
    </row>
    <row r="77" spans="2:34" x14ac:dyDescent="0.2">
      <c r="B77" s="23" t="s">
        <v>43</v>
      </c>
      <c r="C77" s="12"/>
      <c r="D77" s="239">
        <f>+$D$96/D8</f>
        <v>26.509706651384363</v>
      </c>
      <c r="E77" s="239">
        <f>+$D$96/E8</f>
        <v>20.937932302643677</v>
      </c>
      <c r="F77" s="239">
        <f>+$D$96/F8</f>
        <v>17.219005188097618</v>
      </c>
      <c r="G77" s="239">
        <f>+$D$96/G8</f>
        <v>12.552035546812064</v>
      </c>
      <c r="H77" s="239">
        <f>+$D$96/H8</f>
        <v>12.694123095129878</v>
      </c>
      <c r="I77" s="239">
        <f>+($D$94+I$68)/I8</f>
        <v>10.936227307432858</v>
      </c>
      <c r="J77" s="239">
        <f>+($D$94+J$68)/J8</f>
        <v>9.0401600305072485</v>
      </c>
      <c r="K77" s="239">
        <f t="shared" ref="K77:U77" si="50">+($D$94-K73+K68)/K8</f>
        <v>7.8201652060171316</v>
      </c>
      <c r="L77" s="239">
        <f t="shared" si="50"/>
        <v>6.6449447254538558</v>
      </c>
      <c r="M77" s="239">
        <f t="shared" si="50"/>
        <v>5.5894527348896474</v>
      </c>
      <c r="N77" s="239">
        <f t="shared" si="50"/>
        <v>4.6408015629366428</v>
      </c>
      <c r="O77" s="239">
        <f t="shared" si="50"/>
        <v>3.7848787023505728</v>
      </c>
      <c r="P77" s="239">
        <f t="shared" si="50"/>
        <v>3.0274859817277893</v>
      </c>
      <c r="Q77" s="239">
        <f t="shared" si="50"/>
        <v>2.3565626947820935</v>
      </c>
      <c r="R77" s="239">
        <f t="shared" si="50"/>
        <v>1.7602599437815849</v>
      </c>
      <c r="S77" s="239">
        <f t="shared" si="50"/>
        <v>1.2272389753946589</v>
      </c>
      <c r="T77" s="239">
        <f t="shared" si="50"/>
        <v>0.74948354716002163</v>
      </c>
      <c r="U77" s="239">
        <f t="shared" si="50"/>
        <v>0.31797477422377202</v>
      </c>
      <c r="V77" s="239"/>
      <c r="W77" s="239">
        <f>+($D$94-W73+W68)/W8</f>
        <v>8.7527982295750171</v>
      </c>
      <c r="X77" s="239">
        <f>+($D$94-X73+X68)/X8</f>
        <v>7.4445680899510815</v>
      </c>
    </row>
    <row r="78" spans="2:34" x14ac:dyDescent="0.2">
      <c r="B78" s="23" t="s">
        <v>44</v>
      </c>
      <c r="C78" s="12"/>
      <c r="D78" s="239">
        <f>+$D$96/D30</f>
        <v>50.644895305871081</v>
      </c>
      <c r="E78" s="239">
        <f>+$D$96/E30</f>
        <v>41.960739291889901</v>
      </c>
      <c r="F78" s="239">
        <f>+$D$96/F30</f>
        <v>37.443376419699995</v>
      </c>
      <c r="G78" s="239">
        <f>+$D$96/G30</f>
        <v>27.051828432537146</v>
      </c>
      <c r="H78" s="239">
        <f>+$D$96/H30</f>
        <v>35.042114483215755</v>
      </c>
      <c r="I78" s="239">
        <f>+($D$94+I$68)/I30</f>
        <v>23.325027667984191</v>
      </c>
      <c r="J78" s="239">
        <f>+($D$94+J$68)/J30</f>
        <v>17.665245610303273</v>
      </c>
      <c r="K78" s="239">
        <f t="shared" ref="K78:U78" si="51">+($D$94-K73+K68)/K30</f>
        <v>15.160201824614534</v>
      </c>
      <c r="L78" s="239">
        <f t="shared" si="51"/>
        <v>12.164874973258762</v>
      </c>
      <c r="M78" s="239">
        <f t="shared" si="51"/>
        <v>9.7573318535272122</v>
      </c>
      <c r="N78" s="239">
        <f t="shared" si="51"/>
        <v>7.809054192076669</v>
      </c>
      <c r="O78" s="239">
        <f t="shared" si="51"/>
        <v>6.2021084508519433</v>
      </c>
      <c r="P78" s="239">
        <f t="shared" si="51"/>
        <v>4.8555370464959084</v>
      </c>
      <c r="Q78" s="239">
        <f t="shared" si="51"/>
        <v>3.7271699690271638</v>
      </c>
      <c r="R78" s="239">
        <f t="shared" si="51"/>
        <v>2.7565645934294625</v>
      </c>
      <c r="S78" s="239">
        <f t="shared" si="51"/>
        <v>1.9056750248656864</v>
      </c>
      <c r="T78" s="239">
        <f t="shared" si="51"/>
        <v>1.1596400182632578</v>
      </c>
      <c r="U78" s="239">
        <f t="shared" si="51"/>
        <v>0.49007458068971926</v>
      </c>
      <c r="V78" s="239"/>
      <c r="W78" s="239">
        <f>+($D$94-W73+W68)/W29</f>
        <v>95.563363518895201</v>
      </c>
      <c r="X78" s="239">
        <f>+($D$94-X73+X68)/X29</f>
        <v>71.505517144634567</v>
      </c>
    </row>
    <row r="79" spans="2:34" x14ac:dyDescent="0.2">
      <c r="B79" s="23" t="s">
        <v>314</v>
      </c>
      <c r="C79" s="12"/>
      <c r="D79" s="239">
        <f>+$D$96/D44</f>
        <v>96.659853728614337</v>
      </c>
      <c r="E79" s="239">
        <f>+$D$96/E44</f>
        <v>75.434388217907554</v>
      </c>
      <c r="F79" s="239">
        <f>+$D$96/F44</f>
        <v>62.156162082720975</v>
      </c>
      <c r="G79" s="239">
        <f>+$D$96/G44</f>
        <v>41.726539816772373</v>
      </c>
      <c r="H79" s="239">
        <f>+$D$96/H44</f>
        <v>145.03713501861651</v>
      </c>
      <c r="I79" s="239">
        <f>+($D$94+I$68)/I44</f>
        <v>41.975360628218624</v>
      </c>
      <c r="J79" s="239">
        <f>+($D$94+J$68)/J44</f>
        <v>32.434441792470885</v>
      </c>
      <c r="K79" s="239">
        <f t="shared" ref="K79:T79" si="52">+($D$94-K73+K68)/K44</f>
        <v>29.417346696905721</v>
      </c>
      <c r="L79" s="239">
        <f t="shared" si="52"/>
        <v>21.012328668098093</v>
      </c>
      <c r="M79" s="239">
        <f t="shared" si="52"/>
        <v>15.841035173497939</v>
      </c>
      <c r="N79" s="239">
        <f t="shared" si="52"/>
        <v>11.770178653357465</v>
      </c>
      <c r="O79" s="239">
        <f t="shared" si="52"/>
        <v>8.7967904770974314</v>
      </c>
      <c r="P79" s="239">
        <f t="shared" si="52"/>
        <v>6.8261635898719506</v>
      </c>
      <c r="Q79" s="239">
        <f t="shared" si="52"/>
        <v>5.2105683568354184</v>
      </c>
      <c r="R79" s="239">
        <f t="shared" si="52"/>
        <v>3.838583552254351</v>
      </c>
      <c r="S79" s="239">
        <f t="shared" si="52"/>
        <v>2.6449586689585249</v>
      </c>
      <c r="T79" s="239">
        <f t="shared" si="52"/>
        <v>1.6072746669777485</v>
      </c>
      <c r="U79" s="239">
        <f>+($D$94-U73+U68)/U44</f>
        <v>0.67823136637797721</v>
      </c>
      <c r="V79" s="239"/>
      <c r="W79" s="239">
        <f>($D$94-W73+W68)/W44</f>
        <v>33.647114163963678</v>
      </c>
      <c r="X79" s="239">
        <f>($D$94-X73+X68)/X44</f>
        <v>53.699949358776173</v>
      </c>
    </row>
    <row r="80" spans="2:34" x14ac:dyDescent="0.2">
      <c r="B80" s="23" t="s">
        <v>45</v>
      </c>
      <c r="C80" s="12"/>
      <c r="D80" s="239">
        <f>$D$94/D54</f>
        <v>142.4092125203465</v>
      </c>
      <c r="E80" s="239">
        <f>$D$94/E54</f>
        <v>105.88915320729519</v>
      </c>
      <c r="F80" s="239">
        <f>$D$94/F54</f>
        <v>86.065468113975584</v>
      </c>
      <c r="G80" s="239">
        <f>$D$94/G54</f>
        <v>57.334623902137729</v>
      </c>
      <c r="H80" s="239">
        <f>$D$94/H54</f>
        <v>448.53447259870359</v>
      </c>
      <c r="I80" s="239">
        <f>($D$94-I$73)/I54</f>
        <v>60.232887552425417</v>
      </c>
      <c r="J80" s="239">
        <f>($D$94-J$73)/J54</f>
        <v>46.546209356231131</v>
      </c>
      <c r="K80" s="239">
        <f t="shared" ref="K80:S80" si="53">($D$94-K$73)/K54</f>
        <v>42.559987777103089</v>
      </c>
      <c r="L80" s="239">
        <f t="shared" si="53"/>
        <v>29.034725377232139</v>
      </c>
      <c r="M80" s="239">
        <f t="shared" si="53"/>
        <v>21.408815151624172</v>
      </c>
      <c r="N80" s="239">
        <f t="shared" si="53"/>
        <v>15.525539414677734</v>
      </c>
      <c r="O80" s="239">
        <f t="shared" si="53"/>
        <v>11.403131405097383</v>
      </c>
      <c r="P80" s="239">
        <f t="shared" si="53"/>
        <v>8.8337109236177032</v>
      </c>
      <c r="Q80" s="239">
        <f t="shared" si="53"/>
        <v>6.7437030157692446</v>
      </c>
      <c r="R80" s="239">
        <f t="shared" si="53"/>
        <v>4.9714884649043691</v>
      </c>
      <c r="S80" s="239">
        <f t="shared" si="53"/>
        <v>3.427103922913362</v>
      </c>
      <c r="T80" s="239">
        <f>($D$94-T$73)/T54</f>
        <v>2.081786704674661</v>
      </c>
      <c r="U80" s="239">
        <f>($D$94-U$73)/U54</f>
        <v>0.87790232405755042</v>
      </c>
      <c r="V80" s="239"/>
      <c r="W80" s="239">
        <f>($D$94-W$73)/W54</f>
        <v>43.3805310862992</v>
      </c>
      <c r="X80" s="239">
        <f>($D$94-X$73)/X54</f>
        <v>83.194527735067439</v>
      </c>
      <c r="Y80" s="2">
        <f t="shared" ref="Y80:AH81" si="54">+$E$94/D80</f>
        <v>4.1114615384615387</v>
      </c>
      <c r="Z80" s="2">
        <f t="shared" si="54"/>
        <v>5.529461538461538</v>
      </c>
      <c r="AA80" s="2">
        <f t="shared" si="54"/>
        <v>6.8030769230769224</v>
      </c>
      <c r="AB80" s="2">
        <f t="shared" si="54"/>
        <v>10.212153846153845</v>
      </c>
      <c r="AC80" s="2">
        <f t="shared" si="54"/>
        <v>1.3053846153846154</v>
      </c>
      <c r="AD80" s="2">
        <f t="shared" si="54"/>
        <v>9.7207692307692302</v>
      </c>
      <c r="AE80" s="2">
        <f t="shared" si="54"/>
        <v>12.579112415340388</v>
      </c>
      <c r="AF80" s="2">
        <f t="shared" si="54"/>
        <v>13.757287785571203</v>
      </c>
      <c r="AG80" s="2">
        <f t="shared" si="54"/>
        <v>20.165852867309479</v>
      </c>
      <c r="AH80" s="2">
        <f t="shared" si="54"/>
        <v>27.349014686391016</v>
      </c>
    </row>
    <row r="81" spans="2:33" x14ac:dyDescent="0.2">
      <c r="B81" s="23" t="s">
        <v>46</v>
      </c>
      <c r="C81" s="12"/>
      <c r="D81" s="239">
        <f>$D$94/D58</f>
        <v>75.032825992665906</v>
      </c>
      <c r="E81" s="239">
        <f>$D$94/E58</f>
        <v>62.673983927277519</v>
      </c>
      <c r="F81" s="239">
        <f>$D$94/F58</f>
        <v>57.351039783001809</v>
      </c>
      <c r="G81" s="239">
        <f>$D$94/G58</f>
        <v>40.241662613403264</v>
      </c>
      <c r="H81" s="239">
        <f>$D$94/H58</f>
        <v>56.922150762787915</v>
      </c>
      <c r="I81" s="239">
        <f>($D$94-I$73)/I58</f>
        <v>36.074075829383887</v>
      </c>
      <c r="J81" s="239">
        <f>($D$94-J$73)/J58</f>
        <v>27.556213136364011</v>
      </c>
      <c r="K81" s="239">
        <f t="shared" ref="K81:S81" si="55">($D$94-K$73)/K58</f>
        <v>23.815645352697818</v>
      </c>
      <c r="L81" s="239">
        <f t="shared" si="55"/>
        <v>19.011998986529303</v>
      </c>
      <c r="M81" s="239">
        <f t="shared" si="55"/>
        <v>15.227693765385057</v>
      </c>
      <c r="N81" s="239">
        <f t="shared" si="55"/>
        <v>12.16516762401907</v>
      </c>
      <c r="O81" s="239">
        <f t="shared" si="55"/>
        <v>9.6218185307042425</v>
      </c>
      <c r="P81" s="239">
        <f t="shared" si="55"/>
        <v>7.5092072371891145</v>
      </c>
      <c r="Q81" s="239">
        <f t="shared" si="55"/>
        <v>5.7298498434408343</v>
      </c>
      <c r="R81" s="239">
        <f t="shared" si="55"/>
        <v>4.2111817237523717</v>
      </c>
      <c r="S81" s="239">
        <f t="shared" si="55"/>
        <v>2.8973353045669947</v>
      </c>
      <c r="T81" s="239">
        <f>($D$94-T$73)/T58</f>
        <v>1.7628651997506741</v>
      </c>
      <c r="U81" s="239">
        <f>($D$94-U$73)/U58</f>
        <v>0.74550262555893332</v>
      </c>
      <c r="V81" s="239"/>
      <c r="W81" s="239">
        <f>($D$94-W$73)/W58</f>
        <v>25.680420314651602</v>
      </c>
      <c r="X81" s="239">
        <f>($D$94-X$73)/X58</f>
        <v>22.346140734947209</v>
      </c>
      <c r="AD81" s="2">
        <f>+$E$94/I81</f>
        <v>16.23076923076923</v>
      </c>
      <c r="AE81" s="2">
        <f>+$E$94/J81</f>
        <v>21.24783971957828</v>
      </c>
      <c r="AF81" s="2">
        <f t="shared" si="54"/>
        <v>24.585099052697888</v>
      </c>
      <c r="AG81" s="2">
        <f t="shared" si="54"/>
        <v>30.796866779493058</v>
      </c>
    </row>
    <row r="82" spans="2:33" x14ac:dyDescent="0.2">
      <c r="B82" s="23" t="s">
        <v>323</v>
      </c>
      <c r="C82" s="12"/>
      <c r="D82" s="240" t="s">
        <v>127</v>
      </c>
      <c r="E82" s="240" t="s">
        <v>127</v>
      </c>
      <c r="F82" s="240" t="s">
        <v>127</v>
      </c>
      <c r="G82" s="239">
        <f>+($D$94)/(G58+G23*(1-G52))</f>
        <v>33.105558455114824</v>
      </c>
      <c r="H82" s="239">
        <f>+($D$94)/(H58+H23*(1-H52))</f>
        <v>40.806902985074629</v>
      </c>
      <c r="I82" s="239">
        <f t="shared" ref="I82:U82" si="56">($D$94-I$73)/(I58+I23*(1-I52))</f>
        <v>27.878569230994625</v>
      </c>
      <c r="J82" s="239">
        <f t="shared" si="56"/>
        <v>21.858560999505716</v>
      </c>
      <c r="K82" s="239">
        <f t="shared" si="56"/>
        <v>19.653340669789934</v>
      </c>
      <c r="L82" s="239">
        <f t="shared" si="56"/>
        <v>16.488727148733204</v>
      </c>
      <c r="M82" s="239">
        <f t="shared" si="56"/>
        <v>13.719049781689487</v>
      </c>
      <c r="N82" s="239">
        <f t="shared" si="56"/>
        <v>11.285731858394573</v>
      </c>
      <c r="O82" s="239">
        <f t="shared" si="56"/>
        <v>9.132062771594585</v>
      </c>
      <c r="P82" s="239">
        <f t="shared" si="56"/>
        <v>7.2556593510649474</v>
      </c>
      <c r="Q82" s="239">
        <f t="shared" si="56"/>
        <v>5.6152302605757951</v>
      </c>
      <c r="R82" s="239">
        <f t="shared" si="56"/>
        <v>4.1735783567715652</v>
      </c>
      <c r="S82" s="239">
        <f t="shared" si="56"/>
        <v>2.8973353045669947</v>
      </c>
      <c r="T82" s="239">
        <f t="shared" si="56"/>
        <v>1.7628651997506741</v>
      </c>
      <c r="U82" s="239">
        <f t="shared" si="56"/>
        <v>0.74550262555893332</v>
      </c>
      <c r="V82" s="239"/>
      <c r="W82" s="241" t="s">
        <v>324</v>
      </c>
      <c r="X82" s="241" t="s">
        <v>324</v>
      </c>
    </row>
    <row r="83" spans="2:33" x14ac:dyDescent="0.2">
      <c r="C83" s="12"/>
      <c r="E83" s="12"/>
      <c r="F83" s="12"/>
      <c r="G83" s="12"/>
      <c r="H83" s="12"/>
      <c r="I83" s="12"/>
      <c r="J83" s="12"/>
      <c r="K83" s="12"/>
      <c r="L83" s="12"/>
    </row>
    <row r="84" spans="2:33" x14ac:dyDescent="0.2">
      <c r="B84" s="36" t="s">
        <v>47</v>
      </c>
      <c r="C84" s="12"/>
      <c r="D84" s="12"/>
      <c r="E84" s="12"/>
      <c r="F84" s="12"/>
      <c r="G84" s="12"/>
      <c r="H84" s="12"/>
      <c r="I84" s="12"/>
      <c r="J84" s="201"/>
      <c r="K84" s="12"/>
      <c r="L84" s="12"/>
    </row>
    <row r="85" spans="2:33" ht="13.5" x14ac:dyDescent="0.35">
      <c r="B85" s="2" t="s">
        <v>48</v>
      </c>
      <c r="C85" s="12"/>
      <c r="D85" s="12"/>
      <c r="E85" s="12"/>
      <c r="F85" s="12"/>
      <c r="G85" s="12"/>
      <c r="H85" s="12"/>
      <c r="I85" s="12"/>
      <c r="J85" s="12"/>
      <c r="K85" s="38"/>
      <c r="L85" s="38"/>
      <c r="M85" s="38"/>
      <c r="N85" s="38"/>
      <c r="O85" s="38"/>
      <c r="P85" s="38"/>
      <c r="Q85" s="38"/>
      <c r="R85" s="38"/>
      <c r="S85" s="38"/>
      <c r="T85" s="38">
        <v>15</v>
      </c>
    </row>
    <row r="86" spans="2:33" x14ac:dyDescent="0.2">
      <c r="B86" s="2" t="s">
        <v>49</v>
      </c>
      <c r="C86" s="12"/>
      <c r="D86" s="12"/>
      <c r="E86" s="12"/>
      <c r="F86" s="12"/>
      <c r="G86" s="12"/>
      <c r="H86" s="12"/>
      <c r="I86" s="12"/>
      <c r="J86" s="12"/>
      <c r="K86" s="12"/>
      <c r="L86" s="12"/>
      <c r="M86" s="12"/>
      <c r="N86" s="12"/>
      <c r="O86" s="12"/>
      <c r="P86" s="12"/>
      <c r="Q86" s="12"/>
      <c r="R86" s="12"/>
      <c r="S86" s="12"/>
      <c r="T86" s="12">
        <f>T85*U54</f>
        <v>3123670.9176193359</v>
      </c>
    </row>
    <row r="87" spans="2:33" ht="13.5" x14ac:dyDescent="0.35">
      <c r="C87" s="12"/>
      <c r="D87" s="12"/>
      <c r="E87" s="12"/>
      <c r="F87" s="12"/>
      <c r="G87" s="12"/>
      <c r="H87" s="12"/>
      <c r="I87" s="12"/>
      <c r="J87" s="12"/>
      <c r="K87" s="12"/>
      <c r="L87" s="12"/>
      <c r="M87" s="12"/>
      <c r="N87" s="39"/>
      <c r="O87" s="39"/>
      <c r="P87" s="39"/>
      <c r="Q87" s="39"/>
      <c r="R87" s="39"/>
      <c r="S87" s="39"/>
      <c r="T87" s="39"/>
      <c r="U87" s="39" t="s">
        <v>50</v>
      </c>
    </row>
    <row r="88" spans="2:33" x14ac:dyDescent="0.2">
      <c r="B88" s="2" t="s">
        <v>51</v>
      </c>
      <c r="C88" s="12"/>
      <c r="D88" s="12"/>
      <c r="E88" s="12"/>
      <c r="F88" s="12"/>
      <c r="G88" s="12"/>
      <c r="H88" s="12"/>
      <c r="I88" s="12"/>
      <c r="J88" s="12">
        <f>-D94</f>
        <v>-1522326</v>
      </c>
      <c r="K88" s="12">
        <f t="shared" ref="K88:S88" si="57">+K71</f>
        <v>82948.072103076964</v>
      </c>
      <c r="L88" s="12">
        <f t="shared" si="57"/>
        <v>47923.791871526322</v>
      </c>
      <c r="M88" s="12">
        <f t="shared" si="57"/>
        <v>62094.05212236513</v>
      </c>
      <c r="N88" s="12">
        <f t="shared" si="57"/>
        <v>80442.765016330668</v>
      </c>
      <c r="O88" s="12">
        <f t="shared" si="57"/>
        <v>100693.7101685004</v>
      </c>
      <c r="P88" s="12">
        <f t="shared" si="57"/>
        <v>116764.01895855027</v>
      </c>
      <c r="Q88" s="12">
        <f t="shared" si="57"/>
        <v>133199.78667301551</v>
      </c>
      <c r="R88" s="12">
        <f t="shared" si="57"/>
        <v>150424.77405187784</v>
      </c>
      <c r="S88" s="12">
        <f t="shared" si="57"/>
        <v>168921.9503441487</v>
      </c>
      <c r="T88" s="12">
        <f>T86+T71</f>
        <v>3311520.7379240552</v>
      </c>
      <c r="U88" s="12">
        <f>+SUM(K88:T88)</f>
        <v>4254933.6592334472</v>
      </c>
    </row>
    <row r="89" spans="2:33" x14ac:dyDescent="0.2">
      <c r="C89" s="12"/>
      <c r="D89" s="12"/>
      <c r="E89" s="12"/>
      <c r="F89" s="12"/>
      <c r="G89" s="12"/>
      <c r="H89" s="12"/>
      <c r="I89" s="12"/>
      <c r="J89" s="12"/>
      <c r="L89" s="29"/>
      <c r="M89" s="29"/>
      <c r="N89" s="29"/>
      <c r="O89" s="29"/>
      <c r="P89" s="12"/>
      <c r="Q89" s="12"/>
      <c r="R89" s="12"/>
      <c r="S89" s="12"/>
      <c r="T89" s="12" t="s">
        <v>52</v>
      </c>
      <c r="U89" s="37">
        <f>+U88/-J88</f>
        <v>2.795021341837062</v>
      </c>
    </row>
    <row r="90" spans="2:33" x14ac:dyDescent="0.2">
      <c r="B90" s="40" t="s">
        <v>53</v>
      </c>
      <c r="C90" s="41"/>
      <c r="D90" s="41"/>
      <c r="E90" s="42">
        <f>XIRR(J88:T88,J7:T7)</f>
        <v>0.12421424984931947</v>
      </c>
      <c r="F90" s="12"/>
      <c r="G90" s="12"/>
      <c r="H90" s="12"/>
      <c r="I90" s="12"/>
      <c r="J90" s="12"/>
      <c r="K90" s="12"/>
      <c r="L90" s="12"/>
    </row>
    <row r="91" spans="2:33" x14ac:dyDescent="0.2">
      <c r="C91" s="12"/>
      <c r="D91" s="12"/>
      <c r="E91" s="12"/>
      <c r="F91" s="12"/>
      <c r="G91" s="12"/>
      <c r="H91" s="12"/>
      <c r="I91" s="12"/>
      <c r="J91" s="12"/>
      <c r="K91" s="12"/>
      <c r="L91" s="12"/>
    </row>
    <row r="92" spans="2:33" x14ac:dyDescent="0.2">
      <c r="B92" s="199" t="s">
        <v>54</v>
      </c>
      <c r="C92" s="8"/>
      <c r="D92" s="8"/>
      <c r="E92" s="200"/>
      <c r="F92" s="12"/>
      <c r="G92" s="211"/>
      <c r="H92" s="12"/>
      <c r="I92" s="12"/>
      <c r="J92" s="12"/>
      <c r="K92" s="12"/>
      <c r="L92" s="12"/>
    </row>
    <row r="93" spans="2:33" ht="13.5" x14ac:dyDescent="0.35">
      <c r="C93" s="12"/>
      <c r="D93" s="39" t="s">
        <v>55</v>
      </c>
      <c r="E93" s="39" t="s">
        <v>302</v>
      </c>
      <c r="F93" s="12"/>
      <c r="G93" s="12"/>
      <c r="H93" s="12"/>
      <c r="I93" s="12"/>
      <c r="J93" s="12"/>
      <c r="K93" s="12"/>
      <c r="L93" s="12"/>
    </row>
    <row r="94" spans="2:33" x14ac:dyDescent="0.2">
      <c r="B94" s="23" t="s">
        <v>56</v>
      </c>
      <c r="C94" s="12"/>
      <c r="D94" s="12">
        <f>E94*E98</f>
        <v>1522326</v>
      </c>
      <c r="E94" s="154">
        <v>585.51</v>
      </c>
      <c r="F94" s="179"/>
      <c r="G94" s="211"/>
      <c r="H94" s="12"/>
      <c r="I94" s="12"/>
      <c r="J94" s="12"/>
      <c r="K94" s="12"/>
      <c r="L94" s="12"/>
    </row>
    <row r="95" spans="2:33" ht="13.5" x14ac:dyDescent="0.35">
      <c r="B95" s="2" t="s">
        <v>37</v>
      </c>
      <c r="C95" s="12"/>
      <c r="D95" s="157">
        <f>+'Historical Financials'!BJ119</f>
        <v>-42077</v>
      </c>
      <c r="E95" s="43">
        <f>D95/E$98</f>
        <v>-16.18346153846154</v>
      </c>
      <c r="F95" s="12"/>
      <c r="G95" s="12"/>
      <c r="H95" s="12"/>
      <c r="I95" s="12"/>
      <c r="J95" s="12"/>
      <c r="K95" s="12"/>
      <c r="L95" s="12"/>
    </row>
    <row r="96" spans="2:33" x14ac:dyDescent="0.2">
      <c r="B96" s="24" t="s">
        <v>57</v>
      </c>
      <c r="C96" s="12"/>
      <c r="D96" s="12">
        <f>D94+D95</f>
        <v>1480249</v>
      </c>
      <c r="E96" s="155">
        <f>D96/E$98</f>
        <v>569.32653846153846</v>
      </c>
      <c r="F96" s="12"/>
      <c r="G96" s="12"/>
      <c r="H96" s="12"/>
      <c r="I96" s="12"/>
      <c r="J96" s="12"/>
      <c r="K96" s="12"/>
      <c r="L96" s="12"/>
    </row>
    <row r="97" spans="2:12" x14ac:dyDescent="0.2">
      <c r="C97" s="12"/>
      <c r="D97" s="12"/>
      <c r="E97" s="12"/>
      <c r="F97" s="12"/>
      <c r="G97" s="12"/>
      <c r="H97" s="12"/>
      <c r="I97" s="12"/>
      <c r="J97" s="12"/>
      <c r="K97" s="12"/>
      <c r="L97" s="12"/>
    </row>
    <row r="98" spans="2:12" s="7" customFormat="1" x14ac:dyDescent="0.2">
      <c r="B98" s="13" t="s">
        <v>58</v>
      </c>
      <c r="C98" s="14"/>
      <c r="D98" s="14"/>
      <c r="E98" s="156">
        <f>+'Historical Financials'!BJ84</f>
        <v>2600</v>
      </c>
      <c r="F98" s="14"/>
      <c r="G98" s="14"/>
      <c r="H98" s="14"/>
      <c r="I98" s="14"/>
      <c r="J98" s="14"/>
      <c r="K98" s="14"/>
      <c r="L98" s="14"/>
    </row>
    <row r="99" spans="2:12" x14ac:dyDescent="0.2">
      <c r="C99" s="12"/>
      <c r="D99" s="12"/>
      <c r="E99" s="12"/>
      <c r="F99" s="12"/>
      <c r="G99" s="12"/>
      <c r="H99" s="12"/>
      <c r="I99" s="12"/>
      <c r="J99" s="12"/>
      <c r="K99" s="12"/>
      <c r="L99" s="12"/>
    </row>
    <row r="100" spans="2:12" x14ac:dyDescent="0.2">
      <c r="C100" s="12"/>
      <c r="D100" s="12"/>
      <c r="E100" s="211"/>
      <c r="F100" s="12"/>
      <c r="G100" s="12"/>
      <c r="H100" s="12"/>
      <c r="I100" s="12"/>
      <c r="J100" s="12"/>
      <c r="K100" s="12"/>
      <c r="L100" s="12"/>
    </row>
    <row r="101" spans="2:12" x14ac:dyDescent="0.2">
      <c r="C101" s="12"/>
      <c r="D101" s="12"/>
      <c r="E101" s="12"/>
      <c r="F101" s="12"/>
      <c r="G101" s="12"/>
      <c r="H101" s="12"/>
      <c r="I101" s="12"/>
      <c r="J101" s="12"/>
      <c r="K101" s="12"/>
      <c r="L101" s="12"/>
    </row>
    <row r="102" spans="2:12" x14ac:dyDescent="0.2">
      <c r="C102" s="12"/>
      <c r="D102" s="12"/>
      <c r="E102" s="12"/>
      <c r="F102" s="12"/>
      <c r="G102" s="12"/>
      <c r="H102" s="12"/>
      <c r="I102" s="12"/>
      <c r="J102" s="12"/>
      <c r="K102" s="12"/>
      <c r="L102" s="12"/>
    </row>
    <row r="103" spans="2:12" x14ac:dyDescent="0.2">
      <c r="C103" s="12"/>
      <c r="D103" s="12"/>
      <c r="E103" s="12"/>
      <c r="F103" s="12"/>
      <c r="G103" s="12"/>
      <c r="H103" s="12"/>
      <c r="I103" s="12"/>
      <c r="J103" s="12"/>
      <c r="K103" s="12"/>
      <c r="L103" s="12"/>
    </row>
    <row r="104" spans="2:12" x14ac:dyDescent="0.2">
      <c r="C104" s="12"/>
      <c r="D104" s="12"/>
      <c r="E104" s="12"/>
      <c r="F104" s="12"/>
      <c r="G104" s="12"/>
      <c r="H104" s="12"/>
      <c r="I104" s="12"/>
      <c r="J104" s="12"/>
      <c r="K104" s="12"/>
      <c r="L104" s="12"/>
    </row>
    <row r="105" spans="2:12" x14ac:dyDescent="0.2">
      <c r="C105" s="12"/>
      <c r="D105" s="12"/>
      <c r="E105" s="12"/>
      <c r="F105" s="12"/>
      <c r="G105" s="12"/>
      <c r="H105" s="12"/>
      <c r="I105" s="12"/>
      <c r="J105" s="12"/>
      <c r="K105" s="12"/>
      <c r="L105" s="12"/>
    </row>
    <row r="106" spans="2:12" x14ac:dyDescent="0.2">
      <c r="C106" s="12"/>
      <c r="D106" s="12"/>
      <c r="E106" s="12"/>
      <c r="F106" s="12"/>
      <c r="G106" s="12"/>
      <c r="H106" s="12"/>
      <c r="I106" s="12"/>
      <c r="J106" s="12"/>
      <c r="K106" s="12"/>
      <c r="L106" s="12"/>
    </row>
    <row r="107" spans="2:12" x14ac:dyDescent="0.2">
      <c r="C107" s="12"/>
      <c r="D107" s="12"/>
      <c r="E107" s="12"/>
      <c r="F107" s="12"/>
      <c r="G107" s="12"/>
      <c r="H107" s="12"/>
      <c r="I107" s="12"/>
      <c r="J107" s="12"/>
      <c r="K107" s="12"/>
      <c r="L107" s="12"/>
    </row>
    <row r="108" spans="2:12" x14ac:dyDescent="0.2">
      <c r="C108" s="12"/>
      <c r="D108" s="12"/>
      <c r="E108" s="12"/>
      <c r="F108" s="12"/>
      <c r="G108" s="12"/>
      <c r="H108" s="12"/>
      <c r="I108" s="12"/>
      <c r="J108" s="12"/>
      <c r="K108" s="12"/>
      <c r="L108" s="12"/>
    </row>
    <row r="109" spans="2:12" x14ac:dyDescent="0.2">
      <c r="C109" s="12"/>
      <c r="D109" s="12"/>
      <c r="E109" s="12"/>
      <c r="F109" s="12"/>
      <c r="G109" s="12"/>
      <c r="H109" s="12"/>
      <c r="I109" s="12"/>
      <c r="J109" s="12"/>
      <c r="K109" s="12"/>
      <c r="L109" s="12"/>
    </row>
  </sheetData>
  <pageMargins left="0.3" right="0.3" top="0.3" bottom="0.3" header="0.3" footer="0.3"/>
  <pageSetup scale="55" orientation="landscape" r:id="rId1"/>
  <headerFoot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9863-F90A-4423-9601-10DAE9FD8AF1}">
  <sheetPr>
    <pageSetUpPr fitToPage="1"/>
  </sheetPr>
  <dimension ref="B2:AG109"/>
  <sheetViews>
    <sheetView view="pageBreakPreview" zoomScale="85" zoomScaleNormal="100" zoomScaleSheetLayoutView="85" workbookViewId="0">
      <selection activeCell="L18" sqref="L18:U18"/>
    </sheetView>
  </sheetViews>
  <sheetFormatPr defaultColWidth="10.6640625" defaultRowHeight="11.25" outlineLevelRow="1" x14ac:dyDescent="0.2"/>
  <cols>
    <col min="1" max="1" width="4.33203125" style="2" customWidth="1"/>
    <col min="2" max="2" width="25.83203125" style="2" customWidth="1"/>
    <col min="3" max="3" width="3.1640625" style="2" customWidth="1"/>
    <col min="4" max="6" width="10.33203125" style="2" customWidth="1"/>
    <col min="7" max="7" width="10.83203125" style="2" customWidth="1"/>
    <col min="8" max="21" width="10.33203125" style="2" customWidth="1"/>
    <col min="22" max="22" width="2.83203125" style="2" customWidth="1"/>
    <col min="23" max="24" width="10.33203125" style="2" customWidth="1"/>
    <col min="25" max="16384" width="10.6640625" style="2"/>
  </cols>
  <sheetData>
    <row r="2" spans="2:27" x14ac:dyDescent="0.2">
      <c r="B2" s="1" t="s">
        <v>327</v>
      </c>
      <c r="L2" s="3"/>
      <c r="M2" s="3"/>
      <c r="N2" s="3"/>
      <c r="O2" s="3"/>
      <c r="X2" s="4">
        <f>+'Simple Model - Case 1'!X2</f>
        <v>45657</v>
      </c>
    </row>
    <row r="3" spans="2:27" s="6" customFormat="1" x14ac:dyDescent="0.2">
      <c r="B3" s="5" t="s">
        <v>347</v>
      </c>
    </row>
    <row r="4" spans="2:27" x14ac:dyDescent="0.2">
      <c r="B4" s="7" t="s">
        <v>275</v>
      </c>
      <c r="D4" s="234"/>
      <c r="E4" s="234"/>
      <c r="F4" s="234"/>
      <c r="G4" s="234"/>
      <c r="H4" s="234"/>
      <c r="I4" s="234"/>
      <c r="J4" s="234"/>
      <c r="K4" s="234"/>
      <c r="L4" s="234"/>
      <c r="M4" s="234"/>
      <c r="N4" s="234"/>
      <c r="O4" s="234"/>
      <c r="P4" s="234"/>
      <c r="Q4" s="234"/>
      <c r="R4" s="234"/>
      <c r="S4" s="234"/>
      <c r="T4" s="234"/>
      <c r="U4" s="234"/>
      <c r="W4" s="234"/>
      <c r="X4" s="234"/>
    </row>
    <row r="5" spans="2:27" x14ac:dyDescent="0.2">
      <c r="D5" s="232" t="s">
        <v>278</v>
      </c>
      <c r="E5" s="233"/>
      <c r="F5" s="233"/>
      <c r="G5" s="233"/>
      <c r="H5" s="233"/>
      <c r="I5" s="233"/>
      <c r="J5" s="233"/>
      <c r="K5" s="233"/>
      <c r="L5" s="233"/>
      <c r="M5" s="233"/>
      <c r="N5" s="233"/>
      <c r="O5" s="233"/>
      <c r="P5" s="233"/>
      <c r="Q5" s="233"/>
      <c r="R5" s="233"/>
      <c r="S5" s="233"/>
      <c r="T5" s="233"/>
      <c r="U5" s="233"/>
      <c r="W5" s="232" t="s">
        <v>301</v>
      </c>
      <c r="X5" s="233"/>
    </row>
    <row r="6" spans="2:27" ht="13.5" x14ac:dyDescent="0.35">
      <c r="D6" s="9" t="s">
        <v>4</v>
      </c>
      <c r="E6" s="9" t="s">
        <v>5</v>
      </c>
      <c r="F6" s="9" t="s">
        <v>6</v>
      </c>
      <c r="G6" s="9" t="s">
        <v>321</v>
      </c>
      <c r="H6" s="9" t="s">
        <v>306</v>
      </c>
      <c r="I6" s="9" t="s">
        <v>357</v>
      </c>
      <c r="J6" s="9" t="s">
        <v>7</v>
      </c>
      <c r="K6" s="9" t="s">
        <v>8</v>
      </c>
      <c r="L6" s="9" t="s">
        <v>9</v>
      </c>
      <c r="M6" s="9" t="s">
        <v>10</v>
      </c>
      <c r="N6" s="9" t="s">
        <v>11</v>
      </c>
      <c r="O6" s="9" t="s">
        <v>12</v>
      </c>
      <c r="P6" s="9" t="s">
        <v>13</v>
      </c>
      <c r="Q6" s="9" t="s">
        <v>14</v>
      </c>
      <c r="R6" s="9" t="s">
        <v>15</v>
      </c>
      <c r="S6" s="9" t="s">
        <v>325</v>
      </c>
      <c r="T6" s="9" t="s">
        <v>346</v>
      </c>
      <c r="U6" s="9" t="s">
        <v>426</v>
      </c>
      <c r="W6" s="9" t="s">
        <v>7</v>
      </c>
      <c r="X6" s="9" t="s">
        <v>8</v>
      </c>
    </row>
    <row r="7" spans="2:27" x14ac:dyDescent="0.2">
      <c r="D7" s="10"/>
      <c r="E7" s="11"/>
      <c r="F7" s="11"/>
      <c r="G7" s="11"/>
      <c r="H7" s="11"/>
      <c r="I7" s="11"/>
      <c r="J7" s="11">
        <f ca="1">+TODAY()</f>
        <v>45796</v>
      </c>
      <c r="K7" s="11">
        <v>46022</v>
      </c>
      <c r="L7" s="11">
        <v>46387</v>
      </c>
      <c r="M7" s="11">
        <v>46752</v>
      </c>
      <c r="N7" s="11">
        <v>47118</v>
      </c>
      <c r="O7" s="11">
        <v>47483</v>
      </c>
      <c r="P7" s="11">
        <v>47848</v>
      </c>
      <c r="Q7" s="11">
        <v>48213</v>
      </c>
      <c r="R7" s="11">
        <v>48579</v>
      </c>
      <c r="S7" s="11">
        <v>48944</v>
      </c>
      <c r="T7" s="11">
        <v>49309</v>
      </c>
      <c r="U7" s="11">
        <v>49674</v>
      </c>
    </row>
    <row r="8" spans="2:27" s="1" customFormat="1" x14ac:dyDescent="0.2">
      <c r="B8" s="1" t="s">
        <v>16</v>
      </c>
      <c r="C8" s="151"/>
      <c r="D8" s="153">
        <f>+'Historical Financials'!CB9</f>
        <v>55838</v>
      </c>
      <c r="E8" s="153">
        <f>+'Historical Financials'!CC9</f>
        <v>70697</v>
      </c>
      <c r="F8" s="153">
        <f>+'Historical Financials'!CD9</f>
        <v>85966</v>
      </c>
      <c r="G8" s="153">
        <f>+'Historical Financials'!CE9</f>
        <v>117929</v>
      </c>
      <c r="H8" s="153">
        <f>+'Historical Financials'!CF9</f>
        <v>116609</v>
      </c>
      <c r="I8" s="153">
        <f>+'Historical Financials'!CG9</f>
        <v>134901</v>
      </c>
      <c r="J8" s="153">
        <f>+'Historical Financials'!CH9</f>
        <v>162961.48549899654</v>
      </c>
      <c r="K8" s="151">
        <f>+'LT Revenue Forecast'!K84</f>
        <v>191293.82858425975</v>
      </c>
      <c r="L8" s="151">
        <f>+'LT Revenue Forecast'!L84</f>
        <v>223666.32806437655</v>
      </c>
      <c r="M8" s="151">
        <f>+'LT Revenue Forecast'!M84</f>
        <v>260485.00735113138</v>
      </c>
      <c r="N8" s="151">
        <f>+'LT Revenue Forecast'!N84</f>
        <v>302166.64065609261</v>
      </c>
      <c r="O8" s="151">
        <f>+'LT Revenue Forecast'!O84</f>
        <v>349133.40600011247</v>
      </c>
      <c r="P8" s="151">
        <f>+'LT Revenue Forecast'!P84</f>
        <v>401806.54663509113</v>
      </c>
      <c r="Q8" s="151">
        <f>+'LT Revenue Forecast'!Q84</f>
        <v>460599.04166144721</v>
      </c>
      <c r="R8" s="151">
        <f>+'LT Revenue Forecast'!R84</f>
        <v>525907.31633571233</v>
      </c>
      <c r="S8" s="151">
        <f>+'LT Revenue Forecast'!S84</f>
        <v>598102.05605450878</v>
      </c>
      <c r="T8" s="151">
        <f>+'LT Revenue Forecast'!T84</f>
        <v>677518.22461016965</v>
      </c>
      <c r="U8" s="151">
        <f>+'LT Revenue Forecast'!U84</f>
        <v>764444.42613842117</v>
      </c>
      <c r="W8" s="248">
        <f>_xll.ciqfunctions.udf.CIQ($B$2, "IQ_REVENUE_EST", "FY2024")</f>
        <v>162991.91159</v>
      </c>
      <c r="X8" s="248">
        <f>_xll.ciqfunctions.udf.CIQ($B$2, "IQ_REVENUE_EST", "FY2025")</f>
        <v>187028.36274000001</v>
      </c>
    </row>
    <row r="9" spans="2:27" s="7" customFormat="1" x14ac:dyDescent="0.2">
      <c r="B9" s="13" t="s">
        <v>17</v>
      </c>
      <c r="C9" s="14"/>
      <c r="D9" s="145"/>
      <c r="E9" s="145">
        <f t="shared" ref="E9:J9" si="0">+E8/D8-1</f>
        <v>0.26610910132884413</v>
      </c>
      <c r="F9" s="145">
        <f t="shared" si="0"/>
        <v>0.21597804715900248</v>
      </c>
      <c r="G9" s="145">
        <f t="shared" si="0"/>
        <v>0.37180978526394148</v>
      </c>
      <c r="H9" s="145">
        <f t="shared" si="0"/>
        <v>-1.1193175554782941E-2</v>
      </c>
      <c r="I9" s="145">
        <f t="shared" si="0"/>
        <v>0.15686610810486323</v>
      </c>
      <c r="J9" s="145">
        <f t="shared" si="0"/>
        <v>0.20800798733142489</v>
      </c>
      <c r="K9" s="145">
        <f t="shared" ref="K9:U9" si="1">+K8/J8-1</f>
        <v>0.17385913609285097</v>
      </c>
      <c r="L9" s="145">
        <f t="shared" si="1"/>
        <v>0.16922918904233009</v>
      </c>
      <c r="M9" s="145">
        <f t="shared" si="1"/>
        <v>0.16461431457021791</v>
      </c>
      <c r="N9" s="145">
        <f t="shared" si="1"/>
        <v>0.16001547931230742</v>
      </c>
      <c r="O9" s="145">
        <f t="shared" si="1"/>
        <v>0.15543332395012643</v>
      </c>
      <c r="P9" s="145">
        <f t="shared" si="1"/>
        <v>0.15086823469124488</v>
      </c>
      <c r="Q9" s="145">
        <f t="shared" si="1"/>
        <v>0.14632040099573018</v>
      </c>
      <c r="R9" s="145">
        <f t="shared" si="1"/>
        <v>0.14178986226000112</v>
      </c>
      <c r="S9" s="145">
        <f t="shared" si="1"/>
        <v>0.13727654565031955</v>
      </c>
      <c r="T9" s="145">
        <f t="shared" si="1"/>
        <v>0.13278029686027892</v>
      </c>
      <c r="U9" s="145">
        <f t="shared" si="1"/>
        <v>0.1283009052313937</v>
      </c>
      <c r="V9" s="146"/>
      <c r="W9" s="145">
        <f>+W8/I8-1</f>
        <v>0.20823353118212617</v>
      </c>
      <c r="X9" s="145">
        <f>+X8/W8-1</f>
        <v>0.14747020827918633</v>
      </c>
    </row>
    <row r="10" spans="2:27" s="7" customFormat="1" x14ac:dyDescent="0.2">
      <c r="B10" s="13" t="s">
        <v>18</v>
      </c>
      <c r="C10" s="14"/>
      <c r="D10" s="145"/>
      <c r="E10" s="238">
        <f>+'Historical Financials'!CC11</f>
        <v>0.29599914037035702</v>
      </c>
      <c r="F10" s="238">
        <f>+'Historical Financials'!CD11</f>
        <v>0.21766128690043418</v>
      </c>
      <c r="G10" s="238">
        <f>+'Historical Financials'!CE11</f>
        <v>0.35273247562990018</v>
      </c>
      <c r="H10" s="238">
        <f>+'Historical Financials'!CF11</f>
        <v>3.9320268975400419E-2</v>
      </c>
      <c r="I10" s="238">
        <f>+'Historical Financials'!CG11</f>
        <v>0.15366738416417247</v>
      </c>
      <c r="J10" s="238">
        <f>+'Historical Financials'!CH11</f>
        <v>0.21759645962594809</v>
      </c>
      <c r="K10" s="145">
        <f>+K9</f>
        <v>0.17385913609285097</v>
      </c>
      <c r="L10" s="145">
        <f t="shared" ref="L10:U10" si="2">+L9</f>
        <v>0.16922918904233009</v>
      </c>
      <c r="M10" s="145">
        <f t="shared" si="2"/>
        <v>0.16461431457021791</v>
      </c>
      <c r="N10" s="145">
        <f t="shared" si="2"/>
        <v>0.16001547931230742</v>
      </c>
      <c r="O10" s="145">
        <f t="shared" si="2"/>
        <v>0.15543332395012643</v>
      </c>
      <c r="P10" s="145">
        <f t="shared" si="2"/>
        <v>0.15086823469124488</v>
      </c>
      <c r="Q10" s="145">
        <f t="shared" si="2"/>
        <v>0.14632040099573018</v>
      </c>
      <c r="R10" s="145">
        <f t="shared" si="2"/>
        <v>0.14178986226000112</v>
      </c>
      <c r="S10" s="145">
        <f t="shared" si="2"/>
        <v>0.13727654565031955</v>
      </c>
      <c r="T10" s="145">
        <f t="shared" si="2"/>
        <v>0.13278029686027892</v>
      </c>
      <c r="U10" s="145">
        <f t="shared" si="2"/>
        <v>0.1283009052313937</v>
      </c>
      <c r="V10" s="146"/>
      <c r="W10" s="146"/>
      <c r="X10" s="146"/>
    </row>
    <row r="11" spans="2:27" s="7" customFormat="1" x14ac:dyDescent="0.2">
      <c r="B11" s="18"/>
      <c r="C11" s="14"/>
      <c r="D11" s="19"/>
      <c r="E11" s="19"/>
      <c r="F11" s="19"/>
      <c r="G11" s="19"/>
      <c r="H11" s="19"/>
      <c r="I11" s="12"/>
      <c r="J11" s="12"/>
      <c r="K11" s="19"/>
      <c r="L11" s="19"/>
      <c r="M11" s="19"/>
      <c r="N11" s="19"/>
      <c r="V11" s="20"/>
      <c r="W11" s="20"/>
      <c r="X11" s="20"/>
    </row>
    <row r="12" spans="2:27" s="7" customFormat="1" x14ac:dyDescent="0.2">
      <c r="B12" s="23" t="s">
        <v>351</v>
      </c>
      <c r="C12" s="14"/>
      <c r="D12" s="12">
        <f t="shared" ref="D12:U12" si="3">+D8-D16</f>
        <v>30925</v>
      </c>
      <c r="E12" s="12">
        <f t="shared" si="3"/>
        <v>41161</v>
      </c>
      <c r="F12" s="12">
        <f t="shared" si="3"/>
        <v>53295</v>
      </c>
      <c r="G12" s="12">
        <f t="shared" si="3"/>
        <v>71176</v>
      </c>
      <c r="H12" s="12">
        <f t="shared" si="3"/>
        <v>83053</v>
      </c>
      <c r="I12" s="12">
        <f t="shared" si="3"/>
        <v>82828</v>
      </c>
      <c r="J12" s="12">
        <f t="shared" si="3"/>
        <v>95002.006410367132</v>
      </c>
      <c r="K12" s="12">
        <f t="shared" si="3"/>
        <v>104334.94364447243</v>
      </c>
      <c r="L12" s="12">
        <f t="shared" si="3"/>
        <v>115283.94343651914</v>
      </c>
      <c r="M12" s="12">
        <f t="shared" si="3"/>
        <v>128011.41515122107</v>
      </c>
      <c r="N12" s="12">
        <f t="shared" si="3"/>
        <v>142684.06847320555</v>
      </c>
      <c r="O12" s="12">
        <f t="shared" si="3"/>
        <v>159470.7746108135</v>
      </c>
      <c r="P12" s="12">
        <f t="shared" si="3"/>
        <v>178540.03086480498</v>
      </c>
      <c r="Q12" s="12">
        <f t="shared" si="3"/>
        <v>200057.0288753474</v>
      </c>
      <c r="R12" s="12">
        <f t="shared" si="3"/>
        <v>224180.33874505345</v>
      </c>
      <c r="S12" s="12">
        <f t="shared" si="3"/>
        <v>251058.23463257204</v>
      </c>
      <c r="T12" s="12">
        <f t="shared" si="3"/>
        <v>282824.70205483638</v>
      </c>
      <c r="U12" s="12">
        <f t="shared" si="3"/>
        <v>317595.182666137</v>
      </c>
      <c r="W12" s="12">
        <f>+W8-W16</f>
        <v>97144.857790000009</v>
      </c>
      <c r="X12" s="12">
        <f>+X8-X16</f>
        <v>113661.91990000001</v>
      </c>
    </row>
    <row r="13" spans="2:27" s="7" customFormat="1" x14ac:dyDescent="0.2">
      <c r="B13" s="13" t="s">
        <v>17</v>
      </c>
      <c r="C13" s="14"/>
      <c r="D13" s="15"/>
      <c r="E13" s="145">
        <f t="shared" ref="E13:J13" si="4">+E12/D12-1</f>
        <v>0.33099434114793858</v>
      </c>
      <c r="F13" s="145">
        <f t="shared" si="4"/>
        <v>0.29479361531546844</v>
      </c>
      <c r="G13" s="145">
        <f t="shared" si="4"/>
        <v>0.33550989773899986</v>
      </c>
      <c r="H13" s="145">
        <f t="shared" si="4"/>
        <v>0.1668680454085647</v>
      </c>
      <c r="I13" s="145">
        <f t="shared" si="4"/>
        <v>-2.7091134576715525E-3</v>
      </c>
      <c r="J13" s="145">
        <f t="shared" si="4"/>
        <v>0.14697935976200238</v>
      </c>
      <c r="K13" s="145">
        <f t="shared" ref="K13:U13" si="5">+K12/J12-1</f>
        <v>9.8239369743319704E-2</v>
      </c>
      <c r="L13" s="145">
        <f t="shared" si="5"/>
        <v>0.1049408703315744</v>
      </c>
      <c r="M13" s="145">
        <f t="shared" si="5"/>
        <v>0.11040107872186278</v>
      </c>
      <c r="N13" s="145">
        <f t="shared" si="5"/>
        <v>0.11461988217731633</v>
      </c>
      <c r="O13" s="145">
        <f t="shared" si="5"/>
        <v>0.1176494777394177</v>
      </c>
      <c r="P13" s="145">
        <f t="shared" si="5"/>
        <v>0.11957837604118859</v>
      </c>
      <c r="Q13" s="145">
        <f t="shared" si="5"/>
        <v>0.12051637891132461</v>
      </c>
      <c r="R13" s="145">
        <f t="shared" si="5"/>
        <v>0.12058216602195437</v>
      </c>
      <c r="S13" s="145">
        <f t="shared" si="5"/>
        <v>0.11989408187167205</v>
      </c>
      <c r="T13" s="145">
        <f t="shared" si="5"/>
        <v>0.12653027481355106</v>
      </c>
      <c r="U13" s="145">
        <f t="shared" si="5"/>
        <v>0.12294004151221216</v>
      </c>
      <c r="W13" s="145">
        <f>+W12/I12-1</f>
        <v>0.17285045866132243</v>
      </c>
      <c r="X13" s="145">
        <f>+X12/W12-1</f>
        <v>0.17002507889512031</v>
      </c>
    </row>
    <row r="14" spans="2:27" s="7" customFormat="1" x14ac:dyDescent="0.2">
      <c r="B14" s="13" t="s">
        <v>20</v>
      </c>
      <c r="C14" s="14"/>
      <c r="D14" s="15">
        <f t="shared" ref="D14:I14" si="6">+D12/D8</f>
        <v>0.55383430638633191</v>
      </c>
      <c r="E14" s="15">
        <f t="shared" si="6"/>
        <v>0.58221706720228583</v>
      </c>
      <c r="F14" s="15">
        <f t="shared" si="6"/>
        <v>0.61995440057697226</v>
      </c>
      <c r="G14" s="15">
        <f t="shared" si="6"/>
        <v>0.60354959339941827</v>
      </c>
      <c r="H14" s="15">
        <f t="shared" si="6"/>
        <v>0.71223490468145678</v>
      </c>
      <c r="I14" s="15">
        <f t="shared" si="6"/>
        <v>0.61399100080799995</v>
      </c>
      <c r="J14" s="15">
        <f>+J12/J8</f>
        <v>0.58297214289294219</v>
      </c>
      <c r="K14" s="15">
        <f t="shared" ref="K14:T14" si="7">+K12/K8</f>
        <v>0.54541719624015839</v>
      </c>
      <c r="L14" s="15">
        <f t="shared" si="7"/>
        <v>0.51542824722073344</v>
      </c>
      <c r="M14" s="15">
        <f t="shared" si="7"/>
        <v>0.49143486779898571</v>
      </c>
      <c r="N14" s="15">
        <f t="shared" si="7"/>
        <v>0.4722032457434629</v>
      </c>
      <c r="O14" s="15">
        <f t="shared" si="7"/>
        <v>0.45676171878769495</v>
      </c>
      <c r="P14" s="15">
        <f t="shared" si="7"/>
        <v>0.44434326010857605</v>
      </c>
      <c r="Q14" s="15">
        <f t="shared" si="7"/>
        <v>0.43434095770957931</v>
      </c>
      <c r="R14" s="15">
        <f t="shared" si="7"/>
        <v>0.42627347401637627</v>
      </c>
      <c r="S14" s="15">
        <f t="shared" si="7"/>
        <v>0.41975818690329253</v>
      </c>
      <c r="T14" s="15">
        <f t="shared" si="7"/>
        <v>0.41744220565811058</v>
      </c>
      <c r="U14" s="15">
        <f>+U12/U8</f>
        <v>0.41545882448311383</v>
      </c>
      <c r="W14" s="15">
        <f>+W12/W8</f>
        <v>0.59601029794879778</v>
      </c>
      <c r="X14" s="15">
        <f>+X12/X8</f>
        <v>0.60772557827503759</v>
      </c>
    </row>
    <row r="15" spans="2:27" s="7" customFormat="1" x14ac:dyDescent="0.2">
      <c r="B15" s="13"/>
      <c r="C15" s="14"/>
      <c r="D15" s="19"/>
      <c r="E15" s="19"/>
      <c r="F15" s="19"/>
      <c r="G15" s="19"/>
      <c r="H15" s="19"/>
      <c r="I15" s="19"/>
      <c r="J15" s="19"/>
      <c r="K15" s="19"/>
      <c r="L15" s="19"/>
      <c r="M15" s="19"/>
      <c r="N15" s="19"/>
    </row>
    <row r="16" spans="2:27" s="152" customFormat="1" x14ac:dyDescent="0.2">
      <c r="B16" s="1" t="s">
        <v>289</v>
      </c>
      <c r="C16" s="150"/>
      <c r="D16" s="153">
        <f>+'Historical Financials'!CB52</f>
        <v>24913</v>
      </c>
      <c r="E16" s="153">
        <f>+'Historical Financials'!CC52</f>
        <v>29536</v>
      </c>
      <c r="F16" s="153">
        <f>+'Historical Financials'!CD52</f>
        <v>32671</v>
      </c>
      <c r="G16" s="153">
        <f>+'Historical Financials'!CE52</f>
        <v>46753</v>
      </c>
      <c r="H16" s="153">
        <f>+'Historical Financials'!CF52</f>
        <v>33556</v>
      </c>
      <c r="I16" s="153">
        <f>+'Historical Financials'!CG52</f>
        <v>52073</v>
      </c>
      <c r="J16" s="153">
        <f>+'Historical Financials'!CH52</f>
        <v>67959.479088629407</v>
      </c>
      <c r="K16" s="151">
        <f>+K24-K23</f>
        <v>86958.884939787327</v>
      </c>
      <c r="L16" s="151">
        <f>+L24-L23</f>
        <v>108382.38462785741</v>
      </c>
      <c r="M16" s="151">
        <f t="shared" ref="M16:T16" si="8">+M24-M23</f>
        <v>132473.59219991032</v>
      </c>
      <c r="N16" s="151">
        <f t="shared" si="8"/>
        <v>159482.57218288706</v>
      </c>
      <c r="O16" s="151">
        <f t="shared" si="8"/>
        <v>189662.63138929897</v>
      </c>
      <c r="P16" s="151">
        <f t="shared" si="8"/>
        <v>223266.51577028615</v>
      </c>
      <c r="Q16" s="151">
        <f t="shared" si="8"/>
        <v>260542.0127860998</v>
      </c>
      <c r="R16" s="151">
        <f t="shared" si="8"/>
        <v>301726.97759065888</v>
      </c>
      <c r="S16" s="151">
        <f t="shared" si="8"/>
        <v>347043.82142193674</v>
      </c>
      <c r="T16" s="151">
        <f t="shared" si="8"/>
        <v>394693.52255533327</v>
      </c>
      <c r="U16" s="151">
        <f>+U24-U23</f>
        <v>446849.24347228417</v>
      </c>
      <c r="W16" s="248">
        <f>_xll.ciqfunctions.udf.CIQ($B$2, "IQ_EBIT_EST", "FY2024")</f>
        <v>65847.053799999994</v>
      </c>
      <c r="X16" s="248">
        <f>_xll.ciqfunctions.udf.CIQ($B$2, "IQ_EBIT_EST", "FY2025")</f>
        <v>73366.442840000003</v>
      </c>
      <c r="Z16" s="195"/>
      <c r="AA16" s="150"/>
    </row>
    <row r="17" spans="2:26" s="7" customFormat="1" x14ac:dyDescent="0.2">
      <c r="B17" s="13" t="s">
        <v>17</v>
      </c>
      <c r="C17" s="14"/>
      <c r="D17" s="15"/>
      <c r="E17" s="145">
        <f t="shared" ref="E17:U17" si="9">+E16/D16-1</f>
        <v>0.18556576887568732</v>
      </c>
      <c r="F17" s="145">
        <f t="shared" si="9"/>
        <v>0.10614165763813643</v>
      </c>
      <c r="G17" s="145">
        <f t="shared" si="9"/>
        <v>0.43102445593951821</v>
      </c>
      <c r="H17" s="145">
        <f t="shared" si="9"/>
        <v>-0.28227065642846449</v>
      </c>
      <c r="I17" s="145">
        <f t="shared" si="9"/>
        <v>0.55182381690308735</v>
      </c>
      <c r="J17" s="145">
        <f t="shared" si="9"/>
        <v>0.30508092655751362</v>
      </c>
      <c r="K17" s="145">
        <f t="shared" si="9"/>
        <v>0.27956962157375909</v>
      </c>
      <c r="L17" s="145">
        <f t="shared" si="9"/>
        <v>0.2463635510379909</v>
      </c>
      <c r="M17" s="145">
        <f t="shared" si="9"/>
        <v>0.22227973350810348</v>
      </c>
      <c r="N17" s="145">
        <f t="shared" si="9"/>
        <v>0.2038819928897122</v>
      </c>
      <c r="O17" s="145">
        <f t="shared" si="9"/>
        <v>0.18923734921833879</v>
      </c>
      <c r="P17" s="145">
        <f t="shared" si="9"/>
        <v>0.17717714941965723</v>
      </c>
      <c r="Q17" s="145">
        <f t="shared" si="9"/>
        <v>0.16695516068412863</v>
      </c>
      <c r="R17" s="145">
        <f t="shared" si="9"/>
        <v>0.15807417914734234</v>
      </c>
      <c r="S17" s="145">
        <f t="shared" si="9"/>
        <v>0.15019155460721656</v>
      </c>
      <c r="T17" s="145">
        <f t="shared" si="9"/>
        <v>0.13730168408750876</v>
      </c>
      <c r="U17" s="145">
        <f t="shared" si="9"/>
        <v>0.13214232799992054</v>
      </c>
      <c r="V17" s="145"/>
      <c r="W17" s="145">
        <f>+W16/I16-1</f>
        <v>0.26451431259961966</v>
      </c>
      <c r="X17" s="145">
        <f>+X16/W16-1</f>
        <v>0.11419476811884355</v>
      </c>
    </row>
    <row r="18" spans="2:26" s="7" customFormat="1" x14ac:dyDescent="0.2">
      <c r="B18" s="13" t="s">
        <v>18</v>
      </c>
      <c r="C18" s="14"/>
      <c r="D18" s="15"/>
      <c r="E18" s="145">
        <f>(1+E10)/(1+E9)*(1+E17)-1</f>
        <v>0.21355435775857501</v>
      </c>
      <c r="F18" s="145">
        <f t="shared" ref="F18:U18" si="10">(1+F10)/(1+F9)*(1+F17)-1</f>
        <v>0.10767285435845531</v>
      </c>
      <c r="G18" s="145">
        <f t="shared" si="10"/>
        <v>0.4111236672637828</v>
      </c>
      <c r="H18" s="145">
        <f t="shared" si="10"/>
        <v>-0.24560527297044987</v>
      </c>
      <c r="I18" s="145">
        <f t="shared" si="10"/>
        <v>0.54753303860118541</v>
      </c>
      <c r="J18" s="291">
        <f t="shared" si="10"/>
        <v>0.31543990798614741</v>
      </c>
      <c r="K18" s="291">
        <f t="shared" si="10"/>
        <v>0.27956962157375909</v>
      </c>
      <c r="L18" s="145">
        <f t="shared" si="10"/>
        <v>0.2463635510379909</v>
      </c>
      <c r="M18" s="145">
        <f t="shared" si="10"/>
        <v>0.22227973350810348</v>
      </c>
      <c r="N18" s="145">
        <f t="shared" si="10"/>
        <v>0.2038819928897122</v>
      </c>
      <c r="O18" s="145">
        <f t="shared" si="10"/>
        <v>0.18923734921833879</v>
      </c>
      <c r="P18" s="145">
        <f t="shared" si="10"/>
        <v>0.17717714941965723</v>
      </c>
      <c r="Q18" s="145">
        <f t="shared" si="10"/>
        <v>0.16695516068412863</v>
      </c>
      <c r="R18" s="145">
        <f t="shared" si="10"/>
        <v>0.15807417914734234</v>
      </c>
      <c r="S18" s="145">
        <f t="shared" si="10"/>
        <v>0.15019155460721656</v>
      </c>
      <c r="T18" s="145">
        <f t="shared" si="10"/>
        <v>0.13730168408750876</v>
      </c>
      <c r="U18" s="145">
        <f t="shared" si="10"/>
        <v>0.13214232799992054</v>
      </c>
      <c r="V18" s="145"/>
      <c r="W18" s="145"/>
      <c r="X18" s="145"/>
    </row>
    <row r="19" spans="2:26" s="7" customFormat="1" x14ac:dyDescent="0.2">
      <c r="B19" s="13" t="s">
        <v>21</v>
      </c>
      <c r="C19" s="14"/>
      <c r="D19" s="147">
        <f t="shared" ref="D19:U19" si="11">+D16/D8</f>
        <v>0.44616569361366809</v>
      </c>
      <c r="E19" s="147">
        <f t="shared" si="11"/>
        <v>0.41778293279771417</v>
      </c>
      <c r="F19" s="147">
        <f t="shared" si="11"/>
        <v>0.38004559942302774</v>
      </c>
      <c r="G19" s="147">
        <f t="shared" si="11"/>
        <v>0.39645040660058173</v>
      </c>
      <c r="H19" s="147">
        <f t="shared" si="11"/>
        <v>0.28776509531854316</v>
      </c>
      <c r="I19" s="147">
        <f t="shared" si="11"/>
        <v>0.38600899919200005</v>
      </c>
      <c r="J19" s="147">
        <f t="shared" si="11"/>
        <v>0.41702785710705786</v>
      </c>
      <c r="K19" s="147">
        <f t="shared" si="11"/>
        <v>0.45458280375984161</v>
      </c>
      <c r="L19" s="147">
        <f t="shared" si="11"/>
        <v>0.48457175277926656</v>
      </c>
      <c r="M19" s="147">
        <f t="shared" si="11"/>
        <v>0.50856513220101429</v>
      </c>
      <c r="N19" s="147">
        <f t="shared" si="11"/>
        <v>0.52779675425653705</v>
      </c>
      <c r="O19" s="147">
        <f t="shared" si="11"/>
        <v>0.543238281212305</v>
      </c>
      <c r="P19" s="147">
        <f t="shared" si="11"/>
        <v>0.55565673989142395</v>
      </c>
      <c r="Q19" s="147">
        <f t="shared" si="11"/>
        <v>0.56565904229042063</v>
      </c>
      <c r="R19" s="147">
        <f t="shared" si="11"/>
        <v>0.57372652598362373</v>
      </c>
      <c r="S19" s="147">
        <f t="shared" si="11"/>
        <v>0.58024181309670742</v>
      </c>
      <c r="T19" s="147">
        <f t="shared" si="11"/>
        <v>0.58255779434188948</v>
      </c>
      <c r="U19" s="147">
        <f t="shared" si="11"/>
        <v>0.58454117551688611</v>
      </c>
      <c r="W19" s="147">
        <f>+W16/W8</f>
        <v>0.40398970205120222</v>
      </c>
      <c r="X19" s="147">
        <f>+X16/X8</f>
        <v>0.39227442172496235</v>
      </c>
    </row>
    <row r="20" spans="2:26" s="7" customFormat="1" x14ac:dyDescent="0.2">
      <c r="B20" s="13" t="s">
        <v>22</v>
      </c>
      <c r="C20" s="14"/>
      <c r="D20" s="15"/>
      <c r="E20" s="147">
        <f t="shared" ref="E20:U20" si="12">+(E16-D16)/(E8-D8)</f>
        <v>0.31112457096709067</v>
      </c>
      <c r="F20" s="147">
        <f t="shared" si="12"/>
        <v>0.20531796450324186</v>
      </c>
      <c r="G20" s="147">
        <f t="shared" si="12"/>
        <v>0.44057191127240874</v>
      </c>
      <c r="H20" s="147">
        <f t="shared" si="12"/>
        <v>9.997727272727273</v>
      </c>
      <c r="I20" s="147">
        <f t="shared" si="12"/>
        <v>1.0123004592171441</v>
      </c>
      <c r="J20" s="147">
        <f t="shared" si="12"/>
        <v>0.56615125526596888</v>
      </c>
      <c r="K20" s="147">
        <f t="shared" si="12"/>
        <v>0.67059070243435925</v>
      </c>
      <c r="L20" s="147">
        <f t="shared" si="12"/>
        <v>0.66178083348888161</v>
      </c>
      <c r="M20" s="147">
        <f t="shared" si="12"/>
        <v>0.65432025370664204</v>
      </c>
      <c r="N20" s="147">
        <f t="shared" si="12"/>
        <v>0.64798276462362026</v>
      </c>
      <c r="O20" s="147">
        <f t="shared" si="12"/>
        <v>0.64258330300906374</v>
      </c>
      <c r="P20" s="147">
        <f t="shared" si="12"/>
        <v>0.63797001613896254</v>
      </c>
      <c r="Q20" s="147">
        <f t="shared" si="12"/>
        <v>0.63401794734350758</v>
      </c>
      <c r="R20" s="147">
        <f t="shared" si="12"/>
        <v>0.63062399075730147</v>
      </c>
      <c r="S20" s="147">
        <f t="shared" si="12"/>
        <v>0.62770284937365417</v>
      </c>
      <c r="T20" s="147">
        <f t="shared" si="12"/>
        <v>0.6000000000000002</v>
      </c>
      <c r="U20" s="147">
        <f t="shared" si="12"/>
        <v>0.59999999999999987</v>
      </c>
      <c r="W20" s="147">
        <f>+(W16-F16)/(W8-F8)</f>
        <v>0.43071290057029488</v>
      </c>
      <c r="X20" s="147">
        <f>+(X16-W16)/(X8-W8)</f>
        <v>0.31283274694234581</v>
      </c>
    </row>
    <row r="21" spans="2:26" s="7" customFormat="1" x14ac:dyDescent="0.2">
      <c r="B21" s="18"/>
      <c r="C21" s="14"/>
      <c r="D21" s="19"/>
      <c r="E21" s="19"/>
      <c r="F21" s="19"/>
      <c r="G21" s="19"/>
      <c r="H21" s="19"/>
      <c r="I21" s="19"/>
      <c r="J21" s="19"/>
      <c r="K21" s="19"/>
      <c r="L21" s="19"/>
      <c r="M21" s="19"/>
      <c r="N21" s="19"/>
    </row>
    <row r="22" spans="2:26" s="7" customFormat="1" x14ac:dyDescent="0.2">
      <c r="B22" s="21" t="s">
        <v>19</v>
      </c>
      <c r="C22" s="14"/>
      <c r="D22" s="19"/>
      <c r="E22" s="19"/>
      <c r="F22" s="19"/>
      <c r="G22" s="19"/>
      <c r="H22" s="19"/>
      <c r="I22" s="19"/>
      <c r="J22" s="19"/>
      <c r="K22" s="19"/>
      <c r="L22" s="19"/>
      <c r="M22" s="19"/>
      <c r="N22" s="19"/>
    </row>
    <row r="23" spans="2:26" s="7" customFormat="1" ht="13.5" x14ac:dyDescent="0.35">
      <c r="B23" s="13" t="s">
        <v>312</v>
      </c>
      <c r="C23" s="14"/>
      <c r="D23" s="19"/>
      <c r="E23" s="19"/>
      <c r="F23" s="19"/>
      <c r="G23" s="173">
        <f>-'Historical Financials'!CE210</f>
        <v>10193</v>
      </c>
      <c r="H23" s="173">
        <f>-'Historical Financials'!CF210</f>
        <v>13202</v>
      </c>
      <c r="I23" s="173">
        <f>-'Historical Financials'!CG210</f>
        <v>15507</v>
      </c>
      <c r="J23" s="167">
        <v>18000</v>
      </c>
      <c r="K23" s="167">
        <f>+J23-2000</f>
        <v>16000</v>
      </c>
      <c r="L23" s="167">
        <f t="shared" ref="L23:S23" si="13">+K23-2000</f>
        <v>14000</v>
      </c>
      <c r="M23" s="167">
        <f t="shared" si="13"/>
        <v>12000</v>
      </c>
      <c r="N23" s="167">
        <f t="shared" si="13"/>
        <v>10000</v>
      </c>
      <c r="O23" s="167">
        <f t="shared" si="13"/>
        <v>8000</v>
      </c>
      <c r="P23" s="167">
        <f t="shared" si="13"/>
        <v>6000</v>
      </c>
      <c r="Q23" s="167">
        <f t="shared" si="13"/>
        <v>4000</v>
      </c>
      <c r="R23" s="167">
        <f t="shared" si="13"/>
        <v>2000</v>
      </c>
      <c r="S23" s="167">
        <f t="shared" si="13"/>
        <v>0</v>
      </c>
      <c r="T23" s="167">
        <f>S23</f>
        <v>0</v>
      </c>
      <c r="U23" s="167">
        <f>T23</f>
        <v>0</v>
      </c>
    </row>
    <row r="24" spans="2:26" s="7" customFormat="1" x14ac:dyDescent="0.2">
      <c r="B24" s="16" t="s">
        <v>307</v>
      </c>
      <c r="C24" s="14"/>
      <c r="D24" s="19"/>
      <c r="E24" s="19"/>
      <c r="F24" s="19"/>
      <c r="G24" s="14">
        <f>+G16+G23</f>
        <v>56946</v>
      </c>
      <c r="H24" s="14">
        <f>+H16+H23</f>
        <v>46758</v>
      </c>
      <c r="I24" s="14">
        <f>+I16+I23</f>
        <v>67580</v>
      </c>
      <c r="J24" s="14">
        <f>+J16+J23</f>
        <v>85959.479088629407</v>
      </c>
      <c r="K24" s="14">
        <f t="shared" ref="K24:U24" si="14">+(K8-J8)*K27+J24</f>
        <v>102958.88493978733</v>
      </c>
      <c r="L24" s="14">
        <f t="shared" si="14"/>
        <v>122382.38462785741</v>
      </c>
      <c r="M24" s="14">
        <f t="shared" si="14"/>
        <v>144473.59219991032</v>
      </c>
      <c r="N24" s="14">
        <f t="shared" si="14"/>
        <v>169482.57218288706</v>
      </c>
      <c r="O24" s="14">
        <f t="shared" si="14"/>
        <v>197662.63138929897</v>
      </c>
      <c r="P24" s="14">
        <f t="shared" si="14"/>
        <v>229266.51577028615</v>
      </c>
      <c r="Q24" s="14">
        <f t="shared" si="14"/>
        <v>264542.0127860998</v>
      </c>
      <c r="R24" s="14">
        <f t="shared" si="14"/>
        <v>303726.97759065888</v>
      </c>
      <c r="S24" s="14">
        <f t="shared" si="14"/>
        <v>347043.82142193674</v>
      </c>
      <c r="T24" s="14">
        <f t="shared" si="14"/>
        <v>394693.52255533327</v>
      </c>
      <c r="U24" s="14">
        <f t="shared" si="14"/>
        <v>446849.24347228417</v>
      </c>
    </row>
    <row r="25" spans="2:26" s="7" customFormat="1" x14ac:dyDescent="0.2">
      <c r="B25" s="18" t="s">
        <v>17</v>
      </c>
      <c r="C25" s="14"/>
      <c r="D25" s="19"/>
      <c r="E25" s="19"/>
      <c r="F25" s="19"/>
      <c r="G25" s="19"/>
      <c r="H25" s="145">
        <f t="shared" ref="H25:U25" si="15">+H24/G24-1</f>
        <v>-0.17890633231482456</v>
      </c>
      <c r="I25" s="145">
        <f t="shared" si="15"/>
        <v>0.44531417083707603</v>
      </c>
      <c r="J25" s="145">
        <f t="shared" si="15"/>
        <v>0.2719662487219503</v>
      </c>
      <c r="K25" s="145">
        <f t="shared" si="15"/>
        <v>0.19776068947126246</v>
      </c>
      <c r="L25" s="145">
        <f t="shared" si="15"/>
        <v>0.18865297248925517</v>
      </c>
      <c r="M25" s="145">
        <f t="shared" si="15"/>
        <v>0.18050970030718272</v>
      </c>
      <c r="N25" s="145">
        <f t="shared" si="15"/>
        <v>0.17310416112843274</v>
      </c>
      <c r="O25" s="145">
        <f t="shared" si="15"/>
        <v>0.16627113244424363</v>
      </c>
      <c r="P25" s="145">
        <f t="shared" si="15"/>
        <v>0.15988800796010327</v>
      </c>
      <c r="Q25" s="145">
        <f t="shared" si="15"/>
        <v>0.15386240287769715</v>
      </c>
      <c r="R25" s="145">
        <f t="shared" si="15"/>
        <v>0.14812378718930663</v>
      </c>
      <c r="S25" s="145">
        <f t="shared" si="15"/>
        <v>0.14261770282933894</v>
      </c>
      <c r="T25" s="145">
        <f t="shared" si="15"/>
        <v>0.13730168408750876</v>
      </c>
      <c r="U25" s="145">
        <f t="shared" si="15"/>
        <v>0.13214232799992054</v>
      </c>
    </row>
    <row r="26" spans="2:26" s="7" customFormat="1" x14ac:dyDescent="0.2">
      <c r="B26" s="18" t="s">
        <v>21</v>
      </c>
      <c r="C26" s="14"/>
      <c r="D26" s="19"/>
      <c r="E26" s="19"/>
      <c r="F26" s="19"/>
      <c r="G26" s="19">
        <f t="shared" ref="G26:U26" si="16">+G24/G8</f>
        <v>0.48288376904747771</v>
      </c>
      <c r="H26" s="19">
        <f t="shared" si="16"/>
        <v>0.40098105635071052</v>
      </c>
      <c r="I26" s="19">
        <f t="shared" si="16"/>
        <v>0.5009599632322963</v>
      </c>
      <c r="J26" s="19">
        <f t="shared" si="16"/>
        <v>0.52748340397988525</v>
      </c>
      <c r="K26" s="19">
        <f t="shared" si="16"/>
        <v>0.53822376655730286</v>
      </c>
      <c r="L26" s="19">
        <f t="shared" si="16"/>
        <v>0.54716499209766079</v>
      </c>
      <c r="M26" s="19">
        <f t="shared" si="16"/>
        <v>0.55463304268088354</v>
      </c>
      <c r="N26" s="19">
        <f t="shared" si="16"/>
        <v>0.56089107591390819</v>
      </c>
      <c r="O26" s="19">
        <f t="shared" si="16"/>
        <v>0.56615215843663869</v>
      </c>
      <c r="P26" s="19">
        <f t="shared" si="16"/>
        <v>0.57058929898048483</v>
      </c>
      <c r="Q26" s="19">
        <f t="shared" si="16"/>
        <v>0.57434338515307937</v>
      </c>
      <c r="R26" s="19">
        <f t="shared" si="16"/>
        <v>0.57752947745031014</v>
      </c>
      <c r="S26" s="19">
        <f t="shared" si="16"/>
        <v>0.58024181309670742</v>
      </c>
      <c r="T26" s="19">
        <f t="shared" si="16"/>
        <v>0.58255779434188948</v>
      </c>
      <c r="U26" s="19">
        <f t="shared" si="16"/>
        <v>0.58454117551688611</v>
      </c>
      <c r="V26" s="19"/>
    </row>
    <row r="27" spans="2:26" s="7" customFormat="1" x14ac:dyDescent="0.2">
      <c r="B27" s="18" t="s">
        <v>22</v>
      </c>
      <c r="C27" s="14"/>
      <c r="D27" s="19"/>
      <c r="E27" s="19"/>
      <c r="F27" s="19"/>
      <c r="G27" s="19"/>
      <c r="H27" s="19">
        <f>+(H24-G24)/(H8-G8)</f>
        <v>7.7181818181818178</v>
      </c>
      <c r="I27" s="19">
        <f>+(I24-H24)/(I8-H8)</f>
        <v>1.1383118303083315</v>
      </c>
      <c r="J27" s="19">
        <f>+(J24-I24)/(J8-I8)</f>
        <v>0.65499504950784504</v>
      </c>
      <c r="K27" s="148">
        <v>0.6</v>
      </c>
      <c r="L27" s="147">
        <f t="shared" ref="L27:U27" si="17">+K27</f>
        <v>0.6</v>
      </c>
      <c r="M27" s="147">
        <f t="shared" si="17"/>
        <v>0.6</v>
      </c>
      <c r="N27" s="147">
        <f t="shared" si="17"/>
        <v>0.6</v>
      </c>
      <c r="O27" s="147">
        <f t="shared" si="17"/>
        <v>0.6</v>
      </c>
      <c r="P27" s="147">
        <f t="shared" si="17"/>
        <v>0.6</v>
      </c>
      <c r="Q27" s="147">
        <f t="shared" si="17"/>
        <v>0.6</v>
      </c>
      <c r="R27" s="147">
        <f t="shared" si="17"/>
        <v>0.6</v>
      </c>
      <c r="S27" s="147">
        <f t="shared" si="17"/>
        <v>0.6</v>
      </c>
      <c r="T27" s="147">
        <f t="shared" si="17"/>
        <v>0.6</v>
      </c>
      <c r="U27" s="147">
        <f t="shared" si="17"/>
        <v>0.6</v>
      </c>
      <c r="V27" s="19"/>
    </row>
    <row r="28" spans="2:26" s="7" customFormat="1" x14ac:dyDescent="0.2">
      <c r="B28" s="18"/>
      <c r="C28" s="14"/>
      <c r="D28" s="19"/>
      <c r="E28" s="19"/>
      <c r="F28" s="19"/>
      <c r="G28" s="19"/>
      <c r="H28" s="19"/>
      <c r="I28" s="12"/>
      <c r="J28" s="12"/>
      <c r="K28" s="19"/>
      <c r="L28" s="19"/>
      <c r="M28" s="19"/>
      <c r="N28" s="19"/>
    </row>
    <row r="29" spans="2:26" ht="13.5" x14ac:dyDescent="0.35">
      <c r="B29" s="23" t="s">
        <v>527</v>
      </c>
      <c r="C29" s="12"/>
      <c r="D29" s="157">
        <f>+'Historical Financials'!CB69</f>
        <v>4315</v>
      </c>
      <c r="E29" s="157">
        <f>+'Historical Financials'!CC69</f>
        <v>5741</v>
      </c>
      <c r="F29" s="157">
        <f>+'Historical Financials'!CD69</f>
        <v>6862</v>
      </c>
      <c r="G29" s="157">
        <f>+'Historical Financials'!CE69</f>
        <v>7966</v>
      </c>
      <c r="H29" s="157">
        <f>+'Historical Financials'!CF69</f>
        <v>8686</v>
      </c>
      <c r="I29" s="157">
        <f>+'Historical Financials'!CG69</f>
        <v>11177</v>
      </c>
      <c r="J29" s="157">
        <f>+'D&amp;A Model - Case 2'!R59</f>
        <v>15435.789803690475</v>
      </c>
      <c r="K29" s="157">
        <f>+'D&amp;A Model - Case 2'!S59</f>
        <v>19385.496718303388</v>
      </c>
      <c r="L29" s="157">
        <f>+'D&amp;A Model - Case 2'!T59</f>
        <v>22991.03212619586</v>
      </c>
      <c r="M29" s="157">
        <f>+'D&amp;A Model - Case 2'!U59</f>
        <v>27188.762872132153</v>
      </c>
      <c r="N29" s="157">
        <f>+'D&amp;A Model - Case 2'!V59</f>
        <v>32048.746342551938</v>
      </c>
      <c r="O29" s="157">
        <f>+'D&amp;A Model - Case 2'!W59</f>
        <v>37290.689648694912</v>
      </c>
      <c r="P29" s="157">
        <f>+'D&amp;A Model - Case 2'!X59</f>
        <v>42814.121344889645</v>
      </c>
      <c r="Q29" s="157">
        <f>+'D&amp;A Model - Case 2'!Y59</f>
        <v>48194.564685725054</v>
      </c>
      <c r="R29" s="157">
        <f>+'D&amp;A Model - Case 2'!Z59</f>
        <v>53910.139050525926</v>
      </c>
      <c r="S29" s="157">
        <f>+'D&amp;A Model - Case 2'!AA59</f>
        <v>60526.016085783995</v>
      </c>
      <c r="T29" s="157">
        <f>+'D&amp;A Model - Case 2'!AB59</f>
        <v>68763.109276877411</v>
      </c>
      <c r="U29" s="157">
        <f>+'D&amp;A Model - Case 2'!AC59</f>
        <v>78408.924589722228</v>
      </c>
      <c r="V29" s="169"/>
      <c r="W29" s="249">
        <f>_xll.ciqfunctions.udf.CIQ($B$2, "IQ_DA_EST", "FY2024")</f>
        <v>14928.68462</v>
      </c>
      <c r="X29" s="249">
        <f>_xll.ciqfunctions.udf.CIQ($B$2, "IQ_DA_EST", "FY2025")</f>
        <v>19471.859469999999</v>
      </c>
    </row>
    <row r="30" spans="2:26" s="1" customFormat="1" x14ac:dyDescent="0.2">
      <c r="B30" s="149" t="s">
        <v>291</v>
      </c>
      <c r="C30" s="151"/>
      <c r="D30" s="151">
        <f t="shared" ref="D30:T30" si="18">+D16+D29</f>
        <v>29228</v>
      </c>
      <c r="E30" s="151">
        <f t="shared" si="18"/>
        <v>35277</v>
      </c>
      <c r="F30" s="151">
        <f t="shared" si="18"/>
        <v>39533</v>
      </c>
      <c r="G30" s="151">
        <f t="shared" si="18"/>
        <v>54719</v>
      </c>
      <c r="H30" s="151">
        <f t="shared" si="18"/>
        <v>42242</v>
      </c>
      <c r="I30" s="151">
        <f t="shared" si="18"/>
        <v>63250</v>
      </c>
      <c r="J30" s="151">
        <f>+J16+J29</f>
        <v>83395.268892319888</v>
      </c>
      <c r="K30" s="151">
        <f t="shared" si="18"/>
        <v>106344.38165809072</v>
      </c>
      <c r="L30" s="151">
        <f t="shared" si="18"/>
        <v>131373.41675405327</v>
      </c>
      <c r="M30" s="151">
        <f t="shared" si="18"/>
        <v>159662.35507204247</v>
      </c>
      <c r="N30" s="151">
        <f t="shared" si="18"/>
        <v>191531.31852543901</v>
      </c>
      <c r="O30" s="151">
        <f t="shared" si="18"/>
        <v>226953.32103799388</v>
      </c>
      <c r="P30" s="151">
        <f t="shared" si="18"/>
        <v>266080.63711517578</v>
      </c>
      <c r="Q30" s="151">
        <f t="shared" si="18"/>
        <v>308736.57747182483</v>
      </c>
      <c r="R30" s="151">
        <f t="shared" si="18"/>
        <v>355637.11664118478</v>
      </c>
      <c r="S30" s="151">
        <f t="shared" si="18"/>
        <v>407569.83750772075</v>
      </c>
      <c r="T30" s="151">
        <f t="shared" si="18"/>
        <v>463456.6318322107</v>
      </c>
      <c r="U30" s="151">
        <f>+U16+U29</f>
        <v>525258.16806200636</v>
      </c>
      <c r="W30" s="151">
        <f>+W16+W29</f>
        <v>80775.738419999994</v>
      </c>
      <c r="X30" s="151">
        <f>+X16+X29</f>
        <v>92838.302309999999</v>
      </c>
    </row>
    <row r="31" spans="2:26" s="7" customFormat="1" x14ac:dyDescent="0.2">
      <c r="B31" s="16" t="s">
        <v>17</v>
      </c>
      <c r="C31" s="14"/>
      <c r="D31" s="15"/>
      <c r="E31" s="145">
        <f t="shared" ref="E31:U31" si="19">+E30/D30-1</f>
        <v>0.20695908033392629</v>
      </c>
      <c r="F31" s="145">
        <f t="shared" si="19"/>
        <v>0.12064517957876242</v>
      </c>
      <c r="G31" s="145">
        <f t="shared" si="19"/>
        <v>0.3841347734803835</v>
      </c>
      <c r="H31" s="145">
        <f t="shared" si="19"/>
        <v>-0.22801951790054642</v>
      </c>
      <c r="I31" s="145">
        <f t="shared" si="19"/>
        <v>0.49732493726622784</v>
      </c>
      <c r="J31" s="145">
        <f t="shared" si="19"/>
        <v>0.31850227497738959</v>
      </c>
      <c r="K31" s="145">
        <f t="shared" si="19"/>
        <v>0.27518482847513526</v>
      </c>
      <c r="L31" s="145">
        <f t="shared" si="19"/>
        <v>0.23535832082256825</v>
      </c>
      <c r="M31" s="145">
        <f t="shared" si="19"/>
        <v>0.2153322872841883</v>
      </c>
      <c r="N31" s="145">
        <f t="shared" si="19"/>
        <v>0.19960223835491275</v>
      </c>
      <c r="O31" s="145">
        <f t="shared" si="19"/>
        <v>0.1849410466406316</v>
      </c>
      <c r="P31" s="145">
        <f t="shared" si="19"/>
        <v>0.17240248302262851</v>
      </c>
      <c r="Q31" s="145">
        <f t="shared" si="19"/>
        <v>0.16031207989848961</v>
      </c>
      <c r="R31" s="145">
        <f t="shared" si="19"/>
        <v>0.15191118445834317</v>
      </c>
      <c r="S31" s="145">
        <f t="shared" si="19"/>
        <v>0.14602728015853517</v>
      </c>
      <c r="T31" s="145">
        <f t="shared" si="19"/>
        <v>0.13712200752203918</v>
      </c>
      <c r="U31" s="145">
        <f t="shared" si="19"/>
        <v>0.13334912478320127</v>
      </c>
      <c r="W31" s="145">
        <f>+W30/I30-1</f>
        <v>0.277086773438735</v>
      </c>
      <c r="X31" s="145">
        <f>+X30/W30-1</f>
        <v>0.14933399713760243</v>
      </c>
    </row>
    <row r="32" spans="2:26" s="7" customFormat="1" x14ac:dyDescent="0.2">
      <c r="B32" s="16" t="s">
        <v>21</v>
      </c>
      <c r="C32" s="14"/>
      <c r="D32" s="147">
        <f t="shared" ref="D32:U32" si="20">+D30/D8</f>
        <v>0.52344281671979653</v>
      </c>
      <c r="E32" s="147">
        <f t="shared" si="20"/>
        <v>0.49898864166796331</v>
      </c>
      <c r="F32" s="147">
        <f t="shared" si="20"/>
        <v>0.45986785473326663</v>
      </c>
      <c r="G32" s="147">
        <f t="shared" si="20"/>
        <v>0.46399952513800674</v>
      </c>
      <c r="H32" s="147">
        <f t="shared" si="20"/>
        <v>0.36225334236636964</v>
      </c>
      <c r="I32" s="147">
        <f t="shared" si="20"/>
        <v>0.46886235090918527</v>
      </c>
      <c r="J32" s="147">
        <f t="shared" si="20"/>
        <v>0.51174833511709372</v>
      </c>
      <c r="K32" s="147">
        <f t="shared" si="20"/>
        <v>0.55592165437396168</v>
      </c>
      <c r="L32" s="147">
        <f t="shared" si="20"/>
        <v>0.58736340821154287</v>
      </c>
      <c r="M32" s="147">
        <f t="shared" si="20"/>
        <v>0.61294259003866236</v>
      </c>
      <c r="N32" s="147">
        <f t="shared" si="20"/>
        <v>0.63385990627412814</v>
      </c>
      <c r="O32" s="147">
        <f t="shared" si="20"/>
        <v>0.65004756673992048</v>
      </c>
      <c r="P32" s="147">
        <f t="shared" si="20"/>
        <v>0.66221080602955529</v>
      </c>
      <c r="Q32" s="147">
        <f t="shared" si="20"/>
        <v>0.67029357325227479</v>
      </c>
      <c r="R32" s="147">
        <f t="shared" si="20"/>
        <v>0.67623534716935607</v>
      </c>
      <c r="S32" s="147">
        <f t="shared" si="20"/>
        <v>0.68143861633971103</v>
      </c>
      <c r="T32" s="147">
        <f t="shared" si="20"/>
        <v>0.68405042845729247</v>
      </c>
      <c r="U32" s="147">
        <f t="shared" si="20"/>
        <v>0.68711099211664028</v>
      </c>
      <c r="W32" s="147">
        <f>+W30/W8</f>
        <v>0.4955812692300236</v>
      </c>
      <c r="X32" s="147">
        <f>+X30/X8</f>
        <v>0.49638622158640405</v>
      </c>
      <c r="Z32" s="185"/>
    </row>
    <row r="33" spans="2:24" s="7" customFormat="1" x14ac:dyDescent="0.2">
      <c r="B33" s="16"/>
      <c r="C33" s="14"/>
      <c r="D33" s="147"/>
      <c r="E33" s="147"/>
      <c r="F33" s="147"/>
      <c r="G33" s="147"/>
      <c r="H33" s="147"/>
      <c r="I33" s="147"/>
      <c r="J33" s="147"/>
      <c r="K33" s="147"/>
      <c r="L33" s="147"/>
      <c r="M33" s="147"/>
      <c r="N33" s="147"/>
      <c r="O33" s="147"/>
      <c r="P33" s="147"/>
      <c r="Q33" s="147"/>
      <c r="R33" s="147"/>
      <c r="S33" s="147"/>
      <c r="T33" s="147"/>
      <c r="U33" s="147"/>
      <c r="W33" s="147"/>
      <c r="X33" s="147"/>
    </row>
    <row r="34" spans="2:24" s="7" customFormat="1" x14ac:dyDescent="0.2">
      <c r="B34" s="16" t="s">
        <v>313</v>
      </c>
      <c r="C34" s="14"/>
      <c r="D34" s="147">
        <f t="shared" ref="D34:U34" si="21">+D29/D8</f>
        <v>7.7277123106128442E-2</v>
      </c>
      <c r="E34" s="147">
        <f t="shared" si="21"/>
        <v>8.1205708870249096E-2</v>
      </c>
      <c r="F34" s="147">
        <f t="shared" si="21"/>
        <v>7.9822255310238927E-2</v>
      </c>
      <c r="G34" s="147">
        <f t="shared" si="21"/>
        <v>6.7549118537425054E-2</v>
      </c>
      <c r="H34" s="147">
        <f t="shared" si="21"/>
        <v>7.44882470478265E-2</v>
      </c>
      <c r="I34" s="147">
        <f t="shared" si="21"/>
        <v>8.2853351717185192E-2</v>
      </c>
      <c r="J34" s="147">
        <f t="shared" si="21"/>
        <v>9.472047801003583E-2</v>
      </c>
      <c r="K34" s="147">
        <f t="shared" si="21"/>
        <v>0.10133885061412005</v>
      </c>
      <c r="L34" s="147">
        <f t="shared" si="21"/>
        <v>0.10279165543227628</v>
      </c>
      <c r="M34" s="147">
        <f t="shared" si="21"/>
        <v>0.10437745783764803</v>
      </c>
      <c r="N34" s="147">
        <f t="shared" si="21"/>
        <v>0.10606315201759098</v>
      </c>
      <c r="O34" s="147">
        <f t="shared" si="21"/>
        <v>0.10680928552761548</v>
      </c>
      <c r="P34" s="147">
        <f t="shared" si="21"/>
        <v>0.10655406613813131</v>
      </c>
      <c r="Q34" s="147">
        <f t="shared" si="21"/>
        <v>0.10463453096185417</v>
      </c>
      <c r="R34" s="147">
        <f t="shared" si="21"/>
        <v>0.10250882118573237</v>
      </c>
      <c r="S34" s="147">
        <f t="shared" si="21"/>
        <v>0.10119680324300354</v>
      </c>
      <c r="T34" s="147">
        <f t="shared" si="21"/>
        <v>0.10149263411540305</v>
      </c>
      <c r="U34" s="147">
        <f t="shared" si="21"/>
        <v>0.10256981659975423</v>
      </c>
      <c r="V34" s="17"/>
      <c r="W34" s="147">
        <f>+W29/W8</f>
        <v>9.1591567178821373E-2</v>
      </c>
      <c r="X34" s="147">
        <f>+X29/X8</f>
        <v>0.10411179986144169</v>
      </c>
    </row>
    <row r="35" spans="2:24" s="7" customFormat="1" x14ac:dyDescent="0.2">
      <c r="B35" s="16"/>
      <c r="C35" s="14"/>
      <c r="D35" s="147"/>
      <c r="E35" s="147"/>
      <c r="F35" s="147"/>
      <c r="G35" s="147"/>
      <c r="H35" s="147"/>
      <c r="I35" s="147"/>
      <c r="J35" s="147"/>
      <c r="K35" s="147"/>
      <c r="L35" s="147"/>
      <c r="M35" s="147"/>
      <c r="N35" s="147"/>
      <c r="O35" s="147"/>
      <c r="P35" s="147"/>
      <c r="Q35" s="147"/>
      <c r="R35" s="147"/>
      <c r="S35" s="147"/>
      <c r="T35" s="147"/>
      <c r="U35" s="147"/>
      <c r="V35" s="17"/>
      <c r="W35" s="147"/>
      <c r="X35" s="147"/>
    </row>
    <row r="36" spans="2:24" s="7" customFormat="1" x14ac:dyDescent="0.2">
      <c r="B36" s="269" t="s">
        <v>19</v>
      </c>
      <c r="C36" s="14"/>
      <c r="D36" s="147"/>
      <c r="E36" s="147"/>
      <c r="F36" s="147"/>
      <c r="G36" s="147"/>
      <c r="H36" s="147"/>
      <c r="I36" s="147"/>
      <c r="J36" s="147"/>
      <c r="K36" s="147"/>
      <c r="L36" s="147"/>
      <c r="M36" s="147"/>
      <c r="N36" s="147"/>
      <c r="O36" s="147"/>
      <c r="P36" s="147"/>
      <c r="Q36" s="147"/>
      <c r="R36" s="147"/>
      <c r="S36" s="147"/>
      <c r="T36" s="147"/>
      <c r="U36" s="147"/>
      <c r="V36" s="17"/>
      <c r="W36" s="147"/>
      <c r="X36" s="147"/>
    </row>
    <row r="37" spans="2:24" s="7" customFormat="1" x14ac:dyDescent="0.2">
      <c r="B37" s="16" t="s">
        <v>525</v>
      </c>
      <c r="C37" s="14"/>
      <c r="D37" s="14">
        <f t="shared" ref="D37:U37" si="22">+D8-D30</f>
        <v>26610</v>
      </c>
      <c r="E37" s="14">
        <f t="shared" si="22"/>
        <v>35420</v>
      </c>
      <c r="F37" s="14">
        <f t="shared" si="22"/>
        <v>46433</v>
      </c>
      <c r="G37" s="14">
        <f t="shared" si="22"/>
        <v>63210</v>
      </c>
      <c r="H37" s="14">
        <f t="shared" si="22"/>
        <v>74367</v>
      </c>
      <c r="I37" s="14">
        <f t="shared" si="22"/>
        <v>71651</v>
      </c>
      <c r="J37" s="14">
        <f t="shared" si="22"/>
        <v>79566.216606676651</v>
      </c>
      <c r="K37" s="14">
        <f t="shared" si="22"/>
        <v>84949.446926169039</v>
      </c>
      <c r="L37" s="14">
        <f t="shared" si="22"/>
        <v>92292.911310323281</v>
      </c>
      <c r="M37" s="14">
        <f t="shared" si="22"/>
        <v>100822.65227908891</v>
      </c>
      <c r="N37" s="14">
        <f t="shared" si="22"/>
        <v>110635.3221306536</v>
      </c>
      <c r="O37" s="14">
        <f t="shared" si="22"/>
        <v>122180.08496211859</v>
      </c>
      <c r="P37" s="14">
        <f t="shared" si="22"/>
        <v>135725.90951991535</v>
      </c>
      <c r="Q37" s="14">
        <f t="shared" si="22"/>
        <v>151862.46418962238</v>
      </c>
      <c r="R37" s="14">
        <f t="shared" si="22"/>
        <v>170270.19969452755</v>
      </c>
      <c r="S37" s="14">
        <f t="shared" si="22"/>
        <v>190532.21854678803</v>
      </c>
      <c r="T37" s="14">
        <f t="shared" si="22"/>
        <v>214061.59277795895</v>
      </c>
      <c r="U37" s="14">
        <f t="shared" si="22"/>
        <v>239186.25807641482</v>
      </c>
      <c r="V37" s="17"/>
      <c r="W37" s="14">
        <f>+W8-W30</f>
        <v>82216.173170000009</v>
      </c>
      <c r="X37" s="14">
        <f>+X8-X30</f>
        <v>94190.060430000012</v>
      </c>
    </row>
    <row r="38" spans="2:24" s="7" customFormat="1" x14ac:dyDescent="0.2">
      <c r="B38" s="18" t="s">
        <v>17</v>
      </c>
      <c r="C38" s="14"/>
      <c r="D38" s="147"/>
      <c r="E38" s="145">
        <f t="shared" ref="E38:U38" si="23">+E37/D37-1</f>
        <v>0.33107854190154073</v>
      </c>
      <c r="F38" s="145">
        <f t="shared" si="23"/>
        <v>0.31092603049124778</v>
      </c>
      <c r="G38" s="145">
        <f t="shared" si="23"/>
        <v>0.3613163052139643</v>
      </c>
      <c r="H38" s="145">
        <f t="shared" si="23"/>
        <v>0.17650688182249641</v>
      </c>
      <c r="I38" s="145">
        <f t="shared" si="23"/>
        <v>-3.6521575429962261E-2</v>
      </c>
      <c r="J38" s="145">
        <f t="shared" si="23"/>
        <v>0.11046903192804924</v>
      </c>
      <c r="K38" s="145">
        <f t="shared" si="23"/>
        <v>6.7657236313039215E-2</v>
      </c>
      <c r="L38" s="145">
        <f t="shared" si="23"/>
        <v>8.6445111179317857E-2</v>
      </c>
      <c r="M38" s="145">
        <f t="shared" si="23"/>
        <v>9.2420326194776248E-2</v>
      </c>
      <c r="N38" s="145">
        <f t="shared" si="23"/>
        <v>9.7326043599825773E-2</v>
      </c>
      <c r="O38" s="145">
        <f t="shared" si="23"/>
        <v>0.10434970142565625</v>
      </c>
      <c r="P38" s="145">
        <f t="shared" si="23"/>
        <v>0.11086769633526261</v>
      </c>
      <c r="Q38" s="145">
        <f t="shared" si="23"/>
        <v>0.11889074626049401</v>
      </c>
      <c r="R38" s="145">
        <f t="shared" si="23"/>
        <v>0.1212132017159977</v>
      </c>
      <c r="S38" s="145">
        <f t="shared" si="23"/>
        <v>0.11899920766294669</v>
      </c>
      <c r="T38" s="145">
        <f t="shared" si="23"/>
        <v>0.1234928896048777</v>
      </c>
      <c r="U38" s="145">
        <f t="shared" si="23"/>
        <v>0.11737119663739537</v>
      </c>
      <c r="W38" s="145">
        <f>+W37/I37-1</f>
        <v>0.14745325494410411</v>
      </c>
      <c r="X38" s="145">
        <f>+X37/W37-1</f>
        <v>0.14563907316923341</v>
      </c>
    </row>
    <row r="39" spans="2:24" s="7" customFormat="1" x14ac:dyDescent="0.2">
      <c r="B39" s="18" t="s">
        <v>20</v>
      </c>
      <c r="C39" s="14"/>
      <c r="D39" s="147">
        <f t="shared" ref="D39:U39" si="24">+D37/D8</f>
        <v>0.47655718328020347</v>
      </c>
      <c r="E39" s="147">
        <f t="shared" si="24"/>
        <v>0.50101135833203669</v>
      </c>
      <c r="F39" s="147">
        <f t="shared" si="24"/>
        <v>0.54013214526673337</v>
      </c>
      <c r="G39" s="147">
        <f t="shared" si="24"/>
        <v>0.5360004748619932</v>
      </c>
      <c r="H39" s="147">
        <f t="shared" si="24"/>
        <v>0.63774665763363036</v>
      </c>
      <c r="I39" s="147">
        <f t="shared" si="24"/>
        <v>0.53113764909081473</v>
      </c>
      <c r="J39" s="147">
        <f t="shared" si="24"/>
        <v>0.48825166488290628</v>
      </c>
      <c r="K39" s="147">
        <f t="shared" si="24"/>
        <v>0.44407834562603837</v>
      </c>
      <c r="L39" s="147">
        <f t="shared" si="24"/>
        <v>0.41263659178845713</v>
      </c>
      <c r="M39" s="147">
        <f t="shared" si="24"/>
        <v>0.38705740996133764</v>
      </c>
      <c r="N39" s="147">
        <f t="shared" si="24"/>
        <v>0.36614009372587186</v>
      </c>
      <c r="O39" s="147">
        <f t="shared" si="24"/>
        <v>0.34995243326007947</v>
      </c>
      <c r="P39" s="147">
        <f t="shared" si="24"/>
        <v>0.33778919397044477</v>
      </c>
      <c r="Q39" s="147">
        <f t="shared" si="24"/>
        <v>0.32970642674772521</v>
      </c>
      <c r="R39" s="147">
        <f t="shared" si="24"/>
        <v>0.32376465283064393</v>
      </c>
      <c r="S39" s="147">
        <f t="shared" si="24"/>
        <v>0.31856138366028897</v>
      </c>
      <c r="T39" s="147">
        <f t="shared" si="24"/>
        <v>0.31594957154270747</v>
      </c>
      <c r="U39" s="147">
        <f t="shared" si="24"/>
        <v>0.31288900788335966</v>
      </c>
      <c r="V39" s="17"/>
      <c r="W39" s="147">
        <f>+W37/W8</f>
        <v>0.50441873076997645</v>
      </c>
      <c r="X39" s="147">
        <f>+X37/X8</f>
        <v>0.503613778413596</v>
      </c>
    </row>
    <row r="40" spans="2:24" s="7" customFormat="1" x14ac:dyDescent="0.2">
      <c r="B40" s="168"/>
      <c r="C40" s="14"/>
      <c r="D40" s="19"/>
      <c r="E40" s="19"/>
      <c r="F40" s="19"/>
      <c r="G40" s="19"/>
      <c r="H40" s="19"/>
      <c r="I40" s="19"/>
      <c r="J40" s="19"/>
      <c r="K40" s="19"/>
      <c r="L40" s="19"/>
      <c r="M40" s="19"/>
      <c r="N40" s="19"/>
    </row>
    <row r="41" spans="2:24" s="7" customFormat="1" x14ac:dyDescent="0.2">
      <c r="B41" s="23" t="s">
        <v>29</v>
      </c>
      <c r="C41" s="14"/>
      <c r="D41" s="159">
        <f>+-'Historical Financials'!CB90</f>
        <v>13914</v>
      </c>
      <c r="E41" s="159">
        <f>+-'Historical Financials'!CC90</f>
        <v>15654</v>
      </c>
      <c r="F41" s="159">
        <f>+-'Historical Financials'!CD90</f>
        <v>15718</v>
      </c>
      <c r="G41" s="159">
        <f>+-'Historical Financials'!CE90</f>
        <v>19244</v>
      </c>
      <c r="H41" s="159">
        <f>+-'Historical Financials'!CF90</f>
        <v>32036</v>
      </c>
      <c r="I41" s="159">
        <f>+-'Historical Financials'!CG90</f>
        <v>28103</v>
      </c>
      <c r="J41" s="159">
        <f>+-'Historical Financials'!CH90</f>
        <v>37974.480794708994</v>
      </c>
      <c r="K41" s="12">
        <f t="shared" ref="K41:U41" si="25">K42*K8</f>
        <v>45910.518860222342</v>
      </c>
      <c r="L41" s="12">
        <f t="shared" si="25"/>
        <v>49206.592174162841</v>
      </c>
      <c r="M41" s="12">
        <f t="shared" si="25"/>
        <v>52097.001470226278</v>
      </c>
      <c r="N41" s="12">
        <f t="shared" si="25"/>
        <v>57411.661724657599</v>
      </c>
      <c r="O41" s="12">
        <f t="shared" si="25"/>
        <v>62844.013080020246</v>
      </c>
      <c r="P41" s="12">
        <f t="shared" si="25"/>
        <v>68307.1129279655</v>
      </c>
      <c r="Q41" s="12">
        <f t="shared" si="25"/>
        <v>78301.837082446029</v>
      </c>
      <c r="R41" s="12">
        <f t="shared" si="25"/>
        <v>89404.243777071097</v>
      </c>
      <c r="S41" s="12">
        <f t="shared" si="25"/>
        <v>101677.3495292665</v>
      </c>
      <c r="T41" s="12">
        <f t="shared" si="25"/>
        <v>115178.09818372884</v>
      </c>
      <c r="U41" s="12">
        <f t="shared" si="25"/>
        <v>129955.5524435316</v>
      </c>
      <c r="W41" s="250">
        <f>-_xll.ciqfunctions.udf.CIQ($B$2, "IQ_CAPEX_EST", "FY2024")</f>
        <v>38375.807529999998</v>
      </c>
      <c r="X41" s="250">
        <f>-_xll.ciqfunctions.udf.CIQ($B$2, "IQ_CAPEX_EST", "FY2025")</f>
        <v>66910.058470000004</v>
      </c>
    </row>
    <row r="42" spans="2:24" s="7" customFormat="1" x14ac:dyDescent="0.2">
      <c r="B42" s="13" t="s">
        <v>20</v>
      </c>
      <c r="C42" s="14"/>
      <c r="D42" s="15">
        <f t="shared" ref="D42:J42" si="26">D41/D8</f>
        <v>0.24918514273433862</v>
      </c>
      <c r="E42" s="15">
        <f t="shared" si="26"/>
        <v>0.22142382279304637</v>
      </c>
      <c r="F42" s="15">
        <f t="shared" si="26"/>
        <v>0.18283972733406231</v>
      </c>
      <c r="G42" s="15">
        <f t="shared" si="26"/>
        <v>0.16318293210321463</v>
      </c>
      <c r="H42" s="15">
        <f t="shared" si="26"/>
        <v>0.27473008086854361</v>
      </c>
      <c r="I42" s="15">
        <f t="shared" si="26"/>
        <v>0.20832314067353097</v>
      </c>
      <c r="J42" s="15">
        <f t="shared" si="26"/>
        <v>0.23302733574395912</v>
      </c>
      <c r="K42" s="17">
        <v>0.24</v>
      </c>
      <c r="L42" s="17">
        <v>0.22</v>
      </c>
      <c r="M42" s="17">
        <v>0.2</v>
      </c>
      <c r="N42" s="17">
        <v>0.19</v>
      </c>
      <c r="O42" s="17">
        <v>0.18</v>
      </c>
      <c r="P42" s="17">
        <v>0.17</v>
      </c>
      <c r="Q42" s="17">
        <v>0.17</v>
      </c>
      <c r="R42" s="17">
        <v>0.17</v>
      </c>
      <c r="S42" s="17">
        <v>0.17</v>
      </c>
      <c r="T42" s="17">
        <v>0.17</v>
      </c>
      <c r="U42" s="17">
        <v>0.17</v>
      </c>
      <c r="W42" s="15">
        <f>W41/W8</f>
        <v>0.23544608536485476</v>
      </c>
      <c r="X42" s="15">
        <f>X41/X8</f>
        <v>0.35775353796480547</v>
      </c>
    </row>
    <row r="43" spans="2:24" s="7" customFormat="1" ht="13.5" x14ac:dyDescent="0.35">
      <c r="B43" s="23"/>
      <c r="C43" s="14"/>
      <c r="D43" s="157"/>
      <c r="E43" s="157"/>
      <c r="F43" s="157"/>
      <c r="G43" s="157"/>
      <c r="H43" s="157"/>
      <c r="I43" s="25"/>
      <c r="J43" s="25"/>
      <c r="K43" s="25"/>
      <c r="L43" s="25"/>
      <c r="M43" s="25"/>
      <c r="N43" s="25"/>
      <c r="O43" s="25"/>
      <c r="P43" s="25"/>
      <c r="Q43" s="25"/>
      <c r="R43" s="25"/>
      <c r="S43" s="25"/>
      <c r="T43" s="25"/>
      <c r="U43" s="25"/>
      <c r="W43" s="157"/>
      <c r="X43" s="157"/>
    </row>
    <row r="44" spans="2:24" s="7" customFormat="1" x14ac:dyDescent="0.2">
      <c r="B44" s="1" t="s">
        <v>294</v>
      </c>
      <c r="C44" s="14"/>
      <c r="D44" s="151">
        <f>+D30-D41</f>
        <v>15314</v>
      </c>
      <c r="E44" s="151">
        <f t="shared" ref="E44:T44" si="27">+E30-E41</f>
        <v>19623</v>
      </c>
      <c r="F44" s="151">
        <f t="shared" si="27"/>
        <v>23815</v>
      </c>
      <c r="G44" s="151">
        <f t="shared" si="27"/>
        <v>35475</v>
      </c>
      <c r="H44" s="151">
        <f t="shared" si="27"/>
        <v>10206</v>
      </c>
      <c r="I44" s="151">
        <f t="shared" si="27"/>
        <v>35147</v>
      </c>
      <c r="J44" s="151">
        <f>+J30-J41</f>
        <v>45420.788097610894</v>
      </c>
      <c r="K44" s="151">
        <f t="shared" si="27"/>
        <v>60433.862797868373</v>
      </c>
      <c r="L44" s="151">
        <f t="shared" si="27"/>
        <v>82166.824579890425</v>
      </c>
      <c r="M44" s="151">
        <f t="shared" si="27"/>
        <v>107565.3536018162</v>
      </c>
      <c r="N44" s="151">
        <f t="shared" si="27"/>
        <v>134119.65680078141</v>
      </c>
      <c r="O44" s="151">
        <f t="shared" si="27"/>
        <v>164109.30795797362</v>
      </c>
      <c r="P44" s="151">
        <f t="shared" si="27"/>
        <v>197773.52418721028</v>
      </c>
      <c r="Q44" s="151">
        <f t="shared" si="27"/>
        <v>230434.7403893788</v>
      </c>
      <c r="R44" s="151">
        <f t="shared" si="27"/>
        <v>266232.87286411365</v>
      </c>
      <c r="S44" s="151">
        <f t="shared" si="27"/>
        <v>305892.48797845421</v>
      </c>
      <c r="T44" s="151">
        <f t="shared" si="27"/>
        <v>348278.53364848183</v>
      </c>
      <c r="U44" s="151">
        <f>+U30-U41</f>
        <v>395302.61561847478</v>
      </c>
      <c r="W44" s="151">
        <f>+W30-W41</f>
        <v>42399.930889999996</v>
      </c>
      <c r="X44" s="151">
        <f>+X30-X41</f>
        <v>25928.243839999996</v>
      </c>
    </row>
    <row r="45" spans="2:24" s="7" customFormat="1" x14ac:dyDescent="0.2">
      <c r="B45" s="13" t="s">
        <v>17</v>
      </c>
      <c r="C45" s="14"/>
      <c r="D45" s="15"/>
      <c r="E45" s="145">
        <f t="shared" ref="E45:U45" si="28">+E44/D44-1</f>
        <v>0.28137651821862342</v>
      </c>
      <c r="F45" s="145">
        <f t="shared" si="28"/>
        <v>0.21362686643224782</v>
      </c>
      <c r="G45" s="145">
        <f t="shared" si="28"/>
        <v>0.48960739030023093</v>
      </c>
      <c r="H45" s="145">
        <f t="shared" si="28"/>
        <v>-0.7123044397463002</v>
      </c>
      <c r="I45" s="145">
        <f t="shared" si="28"/>
        <v>2.443758573388203</v>
      </c>
      <c r="J45" s="145">
        <f t="shared" si="28"/>
        <v>0.29230910454977366</v>
      </c>
      <c r="K45" s="145">
        <f t="shared" si="28"/>
        <v>0.33053311774322025</v>
      </c>
      <c r="L45" s="145">
        <f t="shared" si="28"/>
        <v>0.35961563229396321</v>
      </c>
      <c r="M45" s="145">
        <f t="shared" si="28"/>
        <v>0.30910929261031495</v>
      </c>
      <c r="N45" s="145">
        <f t="shared" si="28"/>
        <v>0.24686669368710978</v>
      </c>
      <c r="O45" s="145">
        <f t="shared" si="28"/>
        <v>0.22360369741877761</v>
      </c>
      <c r="P45" s="145">
        <f t="shared" si="28"/>
        <v>0.20513288763521964</v>
      </c>
      <c r="Q45" s="145">
        <f t="shared" si="28"/>
        <v>0.16514453254750006</v>
      </c>
      <c r="R45" s="145">
        <f t="shared" si="28"/>
        <v>0.15535041467378008</v>
      </c>
      <c r="S45" s="145">
        <f t="shared" si="28"/>
        <v>0.14896588346767747</v>
      </c>
      <c r="T45" s="145">
        <f t="shared" si="28"/>
        <v>0.13856517350309394</v>
      </c>
      <c r="U45" s="145">
        <f t="shared" si="28"/>
        <v>0.13501860558955503</v>
      </c>
      <c r="W45" s="145">
        <f>+W44/I44-1</f>
        <v>0.20635988533872007</v>
      </c>
      <c r="X45" s="145">
        <f>+X44/W44-1</f>
        <v>-0.38848381835180867</v>
      </c>
    </row>
    <row r="46" spans="2:24" s="7" customFormat="1" x14ac:dyDescent="0.2">
      <c r="B46" s="13" t="s">
        <v>21</v>
      </c>
      <c r="C46" s="14"/>
      <c r="D46" s="147">
        <f t="shared" ref="D46:U46" si="29">+D44/D8</f>
        <v>0.27425767398545792</v>
      </c>
      <c r="E46" s="147">
        <f t="shared" si="29"/>
        <v>0.27756481887491691</v>
      </c>
      <c r="F46" s="147">
        <f t="shared" si="29"/>
        <v>0.27702812739920435</v>
      </c>
      <c r="G46" s="147">
        <f t="shared" si="29"/>
        <v>0.30081659303479213</v>
      </c>
      <c r="H46" s="147">
        <f t="shared" si="29"/>
        <v>8.7523261497826063E-2</v>
      </c>
      <c r="I46" s="147">
        <f t="shared" si="29"/>
        <v>0.26053921023565429</v>
      </c>
      <c r="J46" s="147">
        <f t="shared" si="29"/>
        <v>0.2787209993731346</v>
      </c>
      <c r="K46" s="147">
        <f t="shared" si="29"/>
        <v>0.31592165437396164</v>
      </c>
      <c r="L46" s="147">
        <f t="shared" si="29"/>
        <v>0.36736340821154284</v>
      </c>
      <c r="M46" s="147">
        <f t="shared" si="29"/>
        <v>0.41294259003866235</v>
      </c>
      <c r="N46" s="147">
        <f t="shared" si="29"/>
        <v>0.44385990627412808</v>
      </c>
      <c r="O46" s="147">
        <f t="shared" si="29"/>
        <v>0.47004756673992049</v>
      </c>
      <c r="P46" s="147">
        <f t="shared" si="29"/>
        <v>0.49221080602955525</v>
      </c>
      <c r="Q46" s="147">
        <f t="shared" si="29"/>
        <v>0.50029357325227475</v>
      </c>
      <c r="R46" s="147">
        <f t="shared" si="29"/>
        <v>0.50623534716935603</v>
      </c>
      <c r="S46" s="147">
        <f t="shared" si="29"/>
        <v>0.51143861633971099</v>
      </c>
      <c r="T46" s="147">
        <f t="shared" si="29"/>
        <v>0.51405042845729243</v>
      </c>
      <c r="U46" s="147">
        <f t="shared" si="29"/>
        <v>0.51711099211664036</v>
      </c>
      <c r="W46" s="147">
        <f>+W44/W8</f>
        <v>0.26013518386516887</v>
      </c>
      <c r="X46" s="147">
        <f>+X44/X8</f>
        <v>0.13863268362159856</v>
      </c>
    </row>
    <row r="47" spans="2:24" s="7" customFormat="1" x14ac:dyDescent="0.2">
      <c r="B47" s="18"/>
      <c r="C47" s="14"/>
      <c r="D47" s="19"/>
      <c r="E47" s="19"/>
      <c r="F47" s="19"/>
      <c r="G47" s="19"/>
      <c r="H47" s="19"/>
      <c r="I47" s="19"/>
      <c r="J47" s="19"/>
      <c r="K47" s="19"/>
      <c r="L47" s="19"/>
      <c r="M47" s="19"/>
      <c r="N47" s="19"/>
    </row>
    <row r="48" spans="2:24" x14ac:dyDescent="0.2">
      <c r="B48" s="2" t="s">
        <v>24</v>
      </c>
      <c r="C48" s="12"/>
      <c r="D48" s="159">
        <f>+-'Historical Financials'!CB80</f>
        <v>-448</v>
      </c>
      <c r="E48" s="159">
        <f>+-'Historical Financials'!CC80</f>
        <v>-826</v>
      </c>
      <c r="F48" s="159">
        <f>+-'Historical Financials'!CD80</f>
        <v>-509</v>
      </c>
      <c r="G48" s="159">
        <f>+-'Historical Financials'!CE80</f>
        <v>-534</v>
      </c>
      <c r="H48" s="159">
        <f>+-'Historical Financials'!CF80</f>
        <v>126</v>
      </c>
      <c r="I48" s="159">
        <f>+-'Historical Financials'!CG80</f>
        <v>-677</v>
      </c>
      <c r="J48" s="159">
        <f>+-'Historical Financials'!CH80</f>
        <v>-1096</v>
      </c>
      <c r="K48" s="12">
        <f t="shared" ref="K48:U48" si="30">+MAX(K49*AVERAGE(J66),0)</f>
        <v>0</v>
      </c>
      <c r="L48" s="12">
        <f t="shared" si="30"/>
        <v>0</v>
      </c>
      <c r="M48" s="12">
        <f t="shared" si="30"/>
        <v>0</v>
      </c>
      <c r="N48" s="12">
        <f t="shared" si="30"/>
        <v>0</v>
      </c>
      <c r="O48" s="12">
        <f t="shared" si="30"/>
        <v>0</v>
      </c>
      <c r="P48" s="12">
        <f t="shared" si="30"/>
        <v>0</v>
      </c>
      <c r="Q48" s="12">
        <f t="shared" si="30"/>
        <v>0</v>
      </c>
      <c r="R48" s="12">
        <f t="shared" si="30"/>
        <v>0</v>
      </c>
      <c r="S48" s="12">
        <f t="shared" si="30"/>
        <v>0</v>
      </c>
      <c r="T48" s="12">
        <f t="shared" si="30"/>
        <v>0</v>
      </c>
      <c r="U48" s="12">
        <f t="shared" si="30"/>
        <v>0</v>
      </c>
      <c r="W48" s="178">
        <v>0</v>
      </c>
      <c r="X48" s="27">
        <f>+J48</f>
        <v>-1096</v>
      </c>
    </row>
    <row r="49" spans="2:24" s="7" customFormat="1" x14ac:dyDescent="0.2">
      <c r="B49" s="13" t="s">
        <v>25</v>
      </c>
      <c r="C49" s="14"/>
      <c r="D49" s="22" t="s">
        <v>26</v>
      </c>
      <c r="E49" s="22" t="s">
        <v>26</v>
      </c>
      <c r="F49" s="22" t="s">
        <v>26</v>
      </c>
      <c r="G49" s="22" t="s">
        <v>26</v>
      </c>
      <c r="H49" s="22" t="s">
        <v>26</v>
      </c>
      <c r="I49" s="22" t="s">
        <v>26</v>
      </c>
      <c r="J49" s="22" t="s">
        <v>26</v>
      </c>
      <c r="K49" s="148">
        <v>0</v>
      </c>
      <c r="L49" s="148">
        <v>0</v>
      </c>
      <c r="M49" s="148">
        <v>0</v>
      </c>
      <c r="N49" s="148">
        <v>0</v>
      </c>
      <c r="O49" s="148">
        <v>0</v>
      </c>
      <c r="P49" s="148">
        <v>0</v>
      </c>
      <c r="Q49" s="148">
        <v>0</v>
      </c>
      <c r="R49" s="148">
        <v>0</v>
      </c>
      <c r="S49" s="148">
        <v>0</v>
      </c>
      <c r="T49" s="148">
        <v>0</v>
      </c>
      <c r="U49" s="148">
        <v>0</v>
      </c>
      <c r="W49" s="22" t="s">
        <v>26</v>
      </c>
      <c r="X49" s="22" t="s">
        <v>26</v>
      </c>
    </row>
    <row r="50" spans="2:24" s="7" customFormat="1" x14ac:dyDescent="0.2">
      <c r="B50" s="13"/>
      <c r="C50" s="14"/>
      <c r="D50" s="22"/>
      <c r="E50" s="22"/>
      <c r="F50" s="22"/>
      <c r="G50" s="22"/>
      <c r="H50" s="17"/>
      <c r="I50" s="17"/>
      <c r="J50" s="17"/>
      <c r="K50" s="17"/>
      <c r="L50" s="17"/>
      <c r="M50" s="19"/>
      <c r="N50" s="19"/>
      <c r="O50" s="19"/>
      <c r="P50" s="19"/>
      <c r="Q50" s="19"/>
      <c r="R50" s="19"/>
      <c r="S50" s="19"/>
      <c r="T50" s="19"/>
      <c r="U50" s="19"/>
    </row>
    <row r="51" spans="2:24" x14ac:dyDescent="0.2">
      <c r="B51" s="2" t="s">
        <v>27</v>
      </c>
      <c r="C51" s="12"/>
      <c r="D51" s="12">
        <f t="shared" ref="D51:T51" si="31">+(D16-D48)*D52</f>
        <v>5072.2000000000007</v>
      </c>
      <c r="E51" s="12">
        <f t="shared" si="31"/>
        <v>6072.4000000000005</v>
      </c>
      <c r="F51" s="12">
        <f t="shared" si="31"/>
        <v>6636</v>
      </c>
      <c r="G51" s="12">
        <f t="shared" si="31"/>
        <v>9457.4</v>
      </c>
      <c r="H51" s="12">
        <f t="shared" si="31"/>
        <v>6686</v>
      </c>
      <c r="I51" s="12">
        <f t="shared" si="31"/>
        <v>10550</v>
      </c>
      <c r="J51" s="12">
        <f t="shared" si="31"/>
        <v>13811.095817725882</v>
      </c>
      <c r="K51" s="12">
        <f t="shared" si="31"/>
        <v>17391.776987957466</v>
      </c>
      <c r="L51" s="12">
        <f t="shared" si="31"/>
        <v>21676.476925571482</v>
      </c>
      <c r="M51" s="12">
        <f t="shared" si="31"/>
        <v>26494.718439982065</v>
      </c>
      <c r="N51" s="12">
        <f t="shared" si="31"/>
        <v>31896.514436577414</v>
      </c>
      <c r="O51" s="12">
        <f t="shared" si="31"/>
        <v>37932.526277859797</v>
      </c>
      <c r="P51" s="12">
        <f t="shared" si="31"/>
        <v>44653.303154057234</v>
      </c>
      <c r="Q51" s="12">
        <f t="shared" si="31"/>
        <v>52108.402557219961</v>
      </c>
      <c r="R51" s="12">
        <f t="shared" si="31"/>
        <v>60345.39551813178</v>
      </c>
      <c r="S51" s="12">
        <f t="shared" si="31"/>
        <v>69408.764284387347</v>
      </c>
      <c r="T51" s="12">
        <f t="shared" si="31"/>
        <v>78938.704511066666</v>
      </c>
      <c r="U51" s="12">
        <f>+(U16-U48)*U52</f>
        <v>89369.848694456843</v>
      </c>
      <c r="W51" s="12">
        <f>+(W16-W48)*W52</f>
        <v>8381.3883358706589</v>
      </c>
      <c r="X51" s="12">
        <f>+(X16-X48)*X52</f>
        <v>9602.9000159749194</v>
      </c>
    </row>
    <row r="52" spans="2:24" x14ac:dyDescent="0.2">
      <c r="B52" s="13" t="s">
        <v>28</v>
      </c>
      <c r="C52" s="12"/>
      <c r="D52" s="148">
        <v>0.2</v>
      </c>
      <c r="E52" s="147">
        <f t="shared" ref="E52:U52" si="32">D52</f>
        <v>0.2</v>
      </c>
      <c r="F52" s="147">
        <f t="shared" si="32"/>
        <v>0.2</v>
      </c>
      <c r="G52" s="147">
        <f t="shared" si="32"/>
        <v>0.2</v>
      </c>
      <c r="H52" s="147">
        <f t="shared" si="32"/>
        <v>0.2</v>
      </c>
      <c r="I52" s="147">
        <f t="shared" si="32"/>
        <v>0.2</v>
      </c>
      <c r="J52" s="147">
        <f t="shared" si="32"/>
        <v>0.2</v>
      </c>
      <c r="K52" s="147">
        <f t="shared" si="32"/>
        <v>0.2</v>
      </c>
      <c r="L52" s="147">
        <f t="shared" si="32"/>
        <v>0.2</v>
      </c>
      <c r="M52" s="147">
        <f t="shared" si="32"/>
        <v>0.2</v>
      </c>
      <c r="N52" s="147">
        <f t="shared" si="32"/>
        <v>0.2</v>
      </c>
      <c r="O52" s="147">
        <f t="shared" si="32"/>
        <v>0.2</v>
      </c>
      <c r="P52" s="147">
        <f t="shared" si="32"/>
        <v>0.2</v>
      </c>
      <c r="Q52" s="147">
        <f t="shared" si="32"/>
        <v>0.2</v>
      </c>
      <c r="R52" s="147">
        <f t="shared" si="32"/>
        <v>0.2</v>
      </c>
      <c r="S52" s="147">
        <f t="shared" si="32"/>
        <v>0.2</v>
      </c>
      <c r="T52" s="147">
        <f t="shared" si="32"/>
        <v>0.2</v>
      </c>
      <c r="U52" s="147">
        <f t="shared" si="32"/>
        <v>0.2</v>
      </c>
      <c r="W52" s="251">
        <f>_xll.ciqfunctions.udf.CIQ($B$2, "IQ_EFFECTIVE_TAX_EST", "FY2024")/100</f>
        <v>0.1272857</v>
      </c>
      <c r="X52" s="251">
        <f>_xll.ciqfunctions.udf.CIQ($B$2, "IQ_EFFECTIVE_TAX_EST", "FY2025")/100</f>
        <v>0.12896299999999999</v>
      </c>
    </row>
    <row r="53" spans="2:24" x14ac:dyDescent="0.2">
      <c r="B53" s="13"/>
      <c r="C53" s="12"/>
      <c r="D53" s="17"/>
      <c r="E53" s="19"/>
      <c r="F53" s="19"/>
      <c r="G53" s="19"/>
      <c r="H53" s="19"/>
      <c r="I53" s="19"/>
      <c r="J53" s="19"/>
      <c r="K53" s="19"/>
      <c r="L53" s="19"/>
      <c r="M53" s="19"/>
      <c r="N53" s="19"/>
      <c r="O53" s="19"/>
      <c r="P53" s="19"/>
      <c r="Q53" s="19"/>
      <c r="R53" s="19"/>
      <c r="S53" s="19"/>
      <c r="T53" s="19"/>
      <c r="U53" s="19"/>
    </row>
    <row r="54" spans="2:24" s="152" customFormat="1" x14ac:dyDescent="0.2">
      <c r="B54" s="170" t="s">
        <v>30</v>
      </c>
      <c r="C54" s="150"/>
      <c r="D54" s="151">
        <f t="shared" ref="D54:T54" si="33">+D44-D48-D51</f>
        <v>10689.8</v>
      </c>
      <c r="E54" s="151">
        <f t="shared" si="33"/>
        <v>14376.599999999999</v>
      </c>
      <c r="F54" s="151">
        <f t="shared" si="33"/>
        <v>17688</v>
      </c>
      <c r="G54" s="151">
        <f t="shared" si="33"/>
        <v>26551.599999999999</v>
      </c>
      <c r="H54" s="151">
        <f t="shared" si="33"/>
        <v>3394</v>
      </c>
      <c r="I54" s="151">
        <f t="shared" si="33"/>
        <v>25274</v>
      </c>
      <c r="J54" s="151">
        <f t="shared" si="33"/>
        <v>32705.692279885014</v>
      </c>
      <c r="K54" s="151">
        <f t="shared" si="33"/>
        <v>43042.085809910903</v>
      </c>
      <c r="L54" s="151">
        <f t="shared" si="33"/>
        <v>60490.347654318946</v>
      </c>
      <c r="M54" s="151">
        <f t="shared" si="33"/>
        <v>81070.635161834129</v>
      </c>
      <c r="N54" s="151">
        <f t="shared" si="33"/>
        <v>102223.14236420399</v>
      </c>
      <c r="O54" s="151">
        <f t="shared" si="33"/>
        <v>126176.78168011383</v>
      </c>
      <c r="P54" s="151">
        <f t="shared" si="33"/>
        <v>153120.22103315304</v>
      </c>
      <c r="Q54" s="151">
        <f t="shared" si="33"/>
        <v>178326.33783215884</v>
      </c>
      <c r="R54" s="151">
        <f t="shared" si="33"/>
        <v>205887.47734598187</v>
      </c>
      <c r="S54" s="151">
        <f t="shared" si="33"/>
        <v>236483.72369406687</v>
      </c>
      <c r="T54" s="151">
        <f t="shared" si="33"/>
        <v>269339.82913741516</v>
      </c>
      <c r="U54" s="151">
        <f>+U44-U48-U51</f>
        <v>305932.76692401792</v>
      </c>
      <c r="W54" s="151">
        <f>+W44-W48-W51</f>
        <v>34018.542554129337</v>
      </c>
      <c r="X54" s="151">
        <f>+X44-X48-X51</f>
        <v>17421.343824025076</v>
      </c>
    </row>
    <row r="55" spans="2:24" s="7" customFormat="1" x14ac:dyDescent="0.2">
      <c r="B55" s="13" t="s">
        <v>17</v>
      </c>
      <c r="C55" s="14"/>
      <c r="D55" s="15"/>
      <c r="E55" s="145">
        <f>+E54/D54-1</f>
        <v>0.34488952085165292</v>
      </c>
      <c r="F55" s="145">
        <f t="shared" ref="F55:U55" si="34">+F54/E54-1</f>
        <v>0.23033262384708486</v>
      </c>
      <c r="G55" s="145">
        <f t="shared" si="34"/>
        <v>0.50110809588421512</v>
      </c>
      <c r="H55" s="145">
        <f t="shared" si="34"/>
        <v>-0.87217342834330136</v>
      </c>
      <c r="I55" s="145">
        <f t="shared" si="34"/>
        <v>6.4466705951679435</v>
      </c>
      <c r="J55" s="145">
        <f t="shared" si="34"/>
        <v>0.29404495845078005</v>
      </c>
      <c r="K55" s="145">
        <f t="shared" si="34"/>
        <v>0.31604264608039134</v>
      </c>
      <c r="L55" s="145">
        <f t="shared" si="34"/>
        <v>0.40537677289771112</v>
      </c>
      <c r="M55" s="145">
        <f t="shared" si="34"/>
        <v>0.34022432182278539</v>
      </c>
      <c r="N55" s="145">
        <f t="shared" si="34"/>
        <v>0.26091453656610653</v>
      </c>
      <c r="O55" s="145">
        <f t="shared" si="34"/>
        <v>0.23432697099612754</v>
      </c>
      <c r="P55" s="145">
        <f t="shared" si="34"/>
        <v>0.21353722130389108</v>
      </c>
      <c r="Q55" s="145">
        <f t="shared" si="34"/>
        <v>0.16461651262603816</v>
      </c>
      <c r="R55" s="145">
        <f t="shared" si="34"/>
        <v>0.15455450859852027</v>
      </c>
      <c r="S55" s="145">
        <f t="shared" si="34"/>
        <v>0.14860664059072315</v>
      </c>
      <c r="T55" s="145">
        <f t="shared" si="34"/>
        <v>0.13893601187476823</v>
      </c>
      <c r="U55" s="145">
        <f t="shared" si="34"/>
        <v>0.13586159129823061</v>
      </c>
      <c r="W55" s="145">
        <f>+W54/I54-1</f>
        <v>0.34598965554045025</v>
      </c>
      <c r="X55" s="145">
        <f>+X54/W54-1</f>
        <v>-0.48788682535988337</v>
      </c>
    </row>
    <row r="56" spans="2:24" s="7" customFormat="1" x14ac:dyDescent="0.2">
      <c r="B56" s="13"/>
      <c r="C56" s="14"/>
      <c r="D56" s="15"/>
      <c r="E56" s="145"/>
      <c r="F56" s="145"/>
      <c r="G56" s="145"/>
      <c r="H56" s="145"/>
      <c r="I56" s="145"/>
      <c r="J56" s="145"/>
      <c r="K56" s="145"/>
      <c r="L56" s="145"/>
      <c r="M56" s="145"/>
      <c r="N56" s="145"/>
      <c r="O56" s="145"/>
      <c r="P56" s="145"/>
      <c r="Q56" s="145"/>
      <c r="R56" s="145"/>
      <c r="S56" s="145"/>
      <c r="T56" s="145"/>
      <c r="U56" s="145"/>
      <c r="W56" s="145"/>
      <c r="X56" s="145"/>
    </row>
    <row r="57" spans="2:24" s="7" customFormat="1" x14ac:dyDescent="0.2">
      <c r="B57" s="21" t="s">
        <v>19</v>
      </c>
      <c r="C57" s="14"/>
      <c r="D57" s="15"/>
      <c r="E57" s="145"/>
      <c r="F57" s="145"/>
      <c r="G57" s="145"/>
      <c r="H57" s="145"/>
      <c r="I57" s="145"/>
      <c r="J57" s="145"/>
      <c r="K57" s="145"/>
      <c r="L57" s="145"/>
      <c r="M57" s="145"/>
      <c r="N57" s="145"/>
      <c r="O57" s="145"/>
      <c r="P57" s="145"/>
      <c r="Q57" s="145"/>
      <c r="R57" s="145"/>
      <c r="S57" s="145"/>
      <c r="T57" s="145"/>
      <c r="U57" s="145"/>
      <c r="W57" s="145"/>
      <c r="X57" s="145"/>
    </row>
    <row r="58" spans="2:24" s="7" customFormat="1" x14ac:dyDescent="0.2">
      <c r="B58" s="13" t="s">
        <v>292</v>
      </c>
      <c r="C58" s="14"/>
      <c r="D58" s="14">
        <f t="shared" ref="D58:T58" si="35">+D16-D48-D51</f>
        <v>20288.8</v>
      </c>
      <c r="E58" s="14">
        <f t="shared" si="35"/>
        <v>24289.599999999999</v>
      </c>
      <c r="F58" s="14">
        <f t="shared" si="35"/>
        <v>26544</v>
      </c>
      <c r="G58" s="14">
        <f t="shared" si="35"/>
        <v>37829.599999999999</v>
      </c>
      <c r="H58" s="14">
        <f t="shared" si="35"/>
        <v>26744</v>
      </c>
      <c r="I58" s="14">
        <f t="shared" si="35"/>
        <v>42200</v>
      </c>
      <c r="J58" s="14">
        <f t="shared" si="35"/>
        <v>55244.383270903527</v>
      </c>
      <c r="K58" s="14">
        <f t="shared" si="35"/>
        <v>69567.107951829865</v>
      </c>
      <c r="L58" s="14">
        <f t="shared" si="35"/>
        <v>86705.907702285927</v>
      </c>
      <c r="M58" s="14">
        <f t="shared" si="35"/>
        <v>105978.87375992825</v>
      </c>
      <c r="N58" s="14">
        <f t="shared" si="35"/>
        <v>127586.05774630964</v>
      </c>
      <c r="O58" s="14">
        <f t="shared" si="35"/>
        <v>151730.10511143919</v>
      </c>
      <c r="P58" s="14">
        <f t="shared" si="35"/>
        <v>178613.21261622891</v>
      </c>
      <c r="Q58" s="14">
        <f t="shared" si="35"/>
        <v>208433.61022887984</v>
      </c>
      <c r="R58" s="14">
        <f t="shared" si="35"/>
        <v>241381.58207252709</v>
      </c>
      <c r="S58" s="14">
        <f t="shared" si="35"/>
        <v>277635.05713754939</v>
      </c>
      <c r="T58" s="14">
        <f t="shared" si="35"/>
        <v>315754.81804426661</v>
      </c>
      <c r="U58" s="14">
        <f>+U16-U48-U51</f>
        <v>357479.39477782731</v>
      </c>
      <c r="W58" s="14">
        <f>+W16-W48-W51</f>
        <v>57465.665464129335</v>
      </c>
      <c r="X58" s="14">
        <f>+X16-X48-X51</f>
        <v>64859.542824025084</v>
      </c>
    </row>
    <row r="59" spans="2:24" s="7" customFormat="1" x14ac:dyDescent="0.2">
      <c r="B59" s="16" t="s">
        <v>17</v>
      </c>
      <c r="C59" s="14"/>
      <c r="D59" s="15"/>
      <c r="E59" s="145">
        <f t="shared" ref="E59:U59" si="36">+E58/D58-1</f>
        <v>0.19719253972635142</v>
      </c>
      <c r="F59" s="145">
        <f t="shared" si="36"/>
        <v>9.2813385152493266E-2</v>
      </c>
      <c r="G59" s="145">
        <f t="shared" si="36"/>
        <v>0.42516576250753468</v>
      </c>
      <c r="H59" s="145">
        <f t="shared" si="36"/>
        <v>-0.29304037050352105</v>
      </c>
      <c r="I59" s="145">
        <f t="shared" si="36"/>
        <v>0.57792402034101098</v>
      </c>
      <c r="J59" s="145">
        <f t="shared" si="36"/>
        <v>0.30910860831524944</v>
      </c>
      <c r="K59" s="145">
        <f t="shared" si="36"/>
        <v>0.25926119241283896</v>
      </c>
      <c r="L59" s="145">
        <f t="shared" si="36"/>
        <v>0.2463635510379909</v>
      </c>
      <c r="M59" s="145">
        <f t="shared" si="36"/>
        <v>0.22227973350810326</v>
      </c>
      <c r="N59" s="145">
        <f t="shared" si="36"/>
        <v>0.2038819928897122</v>
      </c>
      <c r="O59" s="145">
        <f t="shared" si="36"/>
        <v>0.18923734921833879</v>
      </c>
      <c r="P59" s="145">
        <f t="shared" si="36"/>
        <v>0.17717714941965701</v>
      </c>
      <c r="Q59" s="145">
        <f t="shared" si="36"/>
        <v>0.16695516068412863</v>
      </c>
      <c r="R59" s="145">
        <f t="shared" si="36"/>
        <v>0.15807417914734212</v>
      </c>
      <c r="S59" s="145">
        <f t="shared" si="36"/>
        <v>0.15019155460721656</v>
      </c>
      <c r="T59" s="145">
        <f t="shared" si="36"/>
        <v>0.13730168408750854</v>
      </c>
      <c r="U59" s="145">
        <f t="shared" si="36"/>
        <v>0.13214232799992054</v>
      </c>
      <c r="W59" s="145">
        <f>+W58/I58-1</f>
        <v>0.36174562711206959</v>
      </c>
      <c r="X59" s="145">
        <f>+X58/W58-1</f>
        <v>0.12866600082289281</v>
      </c>
    </row>
    <row r="60" spans="2:24" s="7" customFormat="1" x14ac:dyDescent="0.2">
      <c r="B60" s="18"/>
      <c r="C60" s="14"/>
      <c r="D60" s="19"/>
      <c r="E60" s="19"/>
      <c r="F60" s="19"/>
      <c r="G60" s="19"/>
      <c r="H60" s="19"/>
      <c r="I60" s="19"/>
      <c r="J60" s="19"/>
      <c r="K60" s="19"/>
      <c r="L60" s="19"/>
      <c r="M60" s="19"/>
      <c r="N60" s="19"/>
    </row>
    <row r="61" spans="2:24" x14ac:dyDescent="0.2">
      <c r="B61" s="23" t="s">
        <v>31</v>
      </c>
      <c r="C61" s="12"/>
      <c r="D61" s="159">
        <f>+'Historical Financials'!CB103</f>
        <v>4153</v>
      </c>
      <c r="E61" s="159">
        <f>+'Historical Financials'!CC103</f>
        <v>4835</v>
      </c>
      <c r="F61" s="159">
        <f>+'Historical Financials'!CD103</f>
        <v>6536</v>
      </c>
      <c r="G61" s="159">
        <f>+'Historical Financials'!CE103</f>
        <v>9163</v>
      </c>
      <c r="H61" s="159">
        <f>+'Historical Financials'!CF103</f>
        <v>11991</v>
      </c>
      <c r="I61" s="159">
        <f>+'Historical Financials'!CG103</f>
        <v>14027</v>
      </c>
      <c r="J61" s="159">
        <f>+'Historical Financials'!CH103</f>
        <v>12428</v>
      </c>
      <c r="K61" s="27">
        <v>0</v>
      </c>
      <c r="L61" s="27">
        <v>0</v>
      </c>
      <c r="M61" s="27">
        <v>0</v>
      </c>
      <c r="N61" s="27">
        <v>0</v>
      </c>
      <c r="O61" s="27">
        <v>0</v>
      </c>
      <c r="P61" s="27">
        <v>0</v>
      </c>
      <c r="Q61" s="27">
        <v>0</v>
      </c>
      <c r="R61" s="27">
        <v>0</v>
      </c>
      <c r="S61" s="27">
        <v>0</v>
      </c>
      <c r="T61" s="27">
        <v>0</v>
      </c>
      <c r="U61" s="27">
        <v>0</v>
      </c>
    </row>
    <row r="62" spans="2:24" x14ac:dyDescent="0.2">
      <c r="B62" s="23" t="s">
        <v>305</v>
      </c>
      <c r="C62" s="12"/>
      <c r="D62" s="159">
        <f>+'Historical Financials'!CB104</f>
        <v>1310.2000000000003</v>
      </c>
      <c r="E62" s="159">
        <f>+'Historical Financials'!CC104</f>
        <v>890.40000000000055</v>
      </c>
      <c r="F62" s="159">
        <f>'Historical Financials'!CD104</f>
        <v>2407</v>
      </c>
      <c r="G62" s="159">
        <f>'Historical Financials'!CE104</f>
        <v>932.40000000000055</v>
      </c>
      <c r="H62" s="159">
        <f>'Historical Financials'!CF104</f>
        <v>279.00000000000023</v>
      </c>
      <c r="I62" s="159">
        <f>'Historical Financials'!CG104</f>
        <v>3943.0000000000005</v>
      </c>
      <c r="J62" s="159">
        <f>'Historical Financials'!CH104</f>
        <v>1425.4000000000005</v>
      </c>
      <c r="K62" s="27">
        <v>0</v>
      </c>
      <c r="L62" s="27">
        <v>0</v>
      </c>
      <c r="M62" s="27">
        <v>0</v>
      </c>
      <c r="N62" s="27">
        <v>0</v>
      </c>
      <c r="O62" s="27">
        <v>0</v>
      </c>
      <c r="P62" s="27">
        <v>0</v>
      </c>
      <c r="Q62" s="27">
        <v>0</v>
      </c>
      <c r="R62" s="27">
        <v>0</v>
      </c>
      <c r="S62" s="27">
        <v>0</v>
      </c>
      <c r="T62" s="27">
        <v>0</v>
      </c>
      <c r="U62" s="27">
        <v>0</v>
      </c>
    </row>
    <row r="63" spans="2:24" ht="13.5" x14ac:dyDescent="0.35">
      <c r="B63" s="23" t="s">
        <v>33</v>
      </c>
      <c r="C63" s="12"/>
      <c r="D63" s="25">
        <f t="shared" ref="D63:I63" si="37">D64-D54-SUM(D61:D62)</f>
        <v>-792</v>
      </c>
      <c r="E63" s="25">
        <f t="shared" si="37"/>
        <v>557.00000000000091</v>
      </c>
      <c r="F63" s="25">
        <f t="shared" si="37"/>
        <v>-3602</v>
      </c>
      <c r="G63" s="25">
        <f t="shared" si="37"/>
        <v>1792</v>
      </c>
      <c r="H63" s="25">
        <f t="shared" si="37"/>
        <v>2775</v>
      </c>
      <c r="I63" s="25">
        <f t="shared" si="37"/>
        <v>-234</v>
      </c>
      <c r="J63" s="25">
        <f>J64-J54-SUM(J61:J62)</f>
        <v>-557.00000000000728</v>
      </c>
      <c r="K63" s="28">
        <v>0</v>
      </c>
      <c r="L63" s="28">
        <v>0</v>
      </c>
      <c r="M63" s="28">
        <v>0</v>
      </c>
      <c r="N63" s="28">
        <v>0</v>
      </c>
      <c r="O63" s="28">
        <v>0</v>
      </c>
      <c r="P63" s="28">
        <v>0</v>
      </c>
      <c r="Q63" s="28">
        <v>0</v>
      </c>
      <c r="R63" s="28">
        <v>0</v>
      </c>
      <c r="S63" s="28">
        <v>0</v>
      </c>
      <c r="T63" s="28">
        <v>0</v>
      </c>
      <c r="U63" s="28">
        <v>0</v>
      </c>
    </row>
    <row r="64" spans="2:24" s="1" customFormat="1" x14ac:dyDescent="0.2">
      <c r="B64" s="149" t="s">
        <v>34</v>
      </c>
      <c r="C64" s="151"/>
      <c r="D64" s="153">
        <f>+'Historical Financials'!CB106</f>
        <v>15361</v>
      </c>
      <c r="E64" s="153">
        <f>+'Historical Financials'!CC106</f>
        <v>20659</v>
      </c>
      <c r="F64" s="153">
        <f>+'Historical Financials'!CD106</f>
        <v>23029</v>
      </c>
      <c r="G64" s="153">
        <f>+'Historical Financials'!CE106</f>
        <v>38439</v>
      </c>
      <c r="H64" s="153">
        <f>+'Historical Financials'!CF106</f>
        <v>18439</v>
      </c>
      <c r="I64" s="153">
        <f>+'Historical Financials'!CG106</f>
        <v>43010</v>
      </c>
      <c r="J64" s="153">
        <f>+'Historical Financials'!CH106</f>
        <v>46002.092279885008</v>
      </c>
      <c r="K64" s="151">
        <f t="shared" ref="K64:R64" si="38">+K54+SUM(K61:K63)</f>
        <v>43042.085809910903</v>
      </c>
      <c r="L64" s="151">
        <f t="shared" si="38"/>
        <v>60490.347654318946</v>
      </c>
      <c r="M64" s="151">
        <f t="shared" si="38"/>
        <v>81070.635161834129</v>
      </c>
      <c r="N64" s="151">
        <f t="shared" si="38"/>
        <v>102223.14236420399</v>
      </c>
      <c r="O64" s="151">
        <f t="shared" si="38"/>
        <v>126176.78168011383</v>
      </c>
      <c r="P64" s="151">
        <f t="shared" si="38"/>
        <v>153120.22103315304</v>
      </c>
      <c r="Q64" s="151">
        <f t="shared" si="38"/>
        <v>178326.33783215884</v>
      </c>
      <c r="R64" s="151">
        <f t="shared" si="38"/>
        <v>205887.47734598187</v>
      </c>
      <c r="S64" s="151">
        <f>+S54+SUM(S61:S63)</f>
        <v>236483.72369406687</v>
      </c>
      <c r="T64" s="151">
        <f>+T54+SUM(T61:T63)</f>
        <v>269339.82913741516</v>
      </c>
      <c r="U64" s="151">
        <f>+U54+SUM(U61:U63)</f>
        <v>305932.76692401792</v>
      </c>
      <c r="W64" s="248">
        <f>_xll.ciqfunctions.udf.CIQ($B$2, "IQ_CASH_OPER_EST", "FY2024")-W41</f>
        <v>48672.684799999995</v>
      </c>
      <c r="X64" s="248">
        <f>_xll.ciqfunctions.udf.CIQ($B$2, "IQ_CASH_OPER_EST", "FY2025")-X41</f>
        <v>34289.934029999989</v>
      </c>
    </row>
    <row r="65" spans="2:33" x14ac:dyDescent="0.2">
      <c r="C65" s="12"/>
      <c r="D65" s="12"/>
      <c r="E65" s="12"/>
      <c r="F65" s="12"/>
      <c r="G65" s="12"/>
      <c r="H65" s="12"/>
      <c r="I65" s="12"/>
      <c r="J65" s="12"/>
      <c r="K65" s="12"/>
      <c r="L65" s="12"/>
      <c r="M65" s="12"/>
      <c r="N65" s="12"/>
    </row>
    <row r="66" spans="2:33" outlineLevel="1" x14ac:dyDescent="0.2">
      <c r="B66" s="23" t="s">
        <v>35</v>
      </c>
      <c r="C66" s="30"/>
      <c r="D66" s="165">
        <f>+'Historical Financials'!CB117</f>
        <v>0</v>
      </c>
      <c r="E66" s="165">
        <f>+'Historical Financials'!CC117</f>
        <v>0</v>
      </c>
      <c r="F66" s="165">
        <f>+'Historical Financials'!CD117</f>
        <v>0</v>
      </c>
      <c r="G66" s="165">
        <f>+'Historical Financials'!CE117</f>
        <v>0</v>
      </c>
      <c r="H66" s="165">
        <f>+'Historical Financials'!CF117</f>
        <v>9923</v>
      </c>
      <c r="I66" s="165">
        <f>+'Historical Financials'!CG117</f>
        <v>18385</v>
      </c>
      <c r="J66" s="165">
        <f>+'Historical Financials'!CH117</f>
        <v>28823</v>
      </c>
      <c r="K66" s="12">
        <f>+K68+K67</f>
        <v>0</v>
      </c>
      <c r="L66" s="12">
        <f t="shared" ref="L66:Q66" si="39">+L68+L67</f>
        <v>0</v>
      </c>
      <c r="M66" s="12">
        <f t="shared" si="39"/>
        <v>0</v>
      </c>
      <c r="N66" s="12">
        <f t="shared" si="39"/>
        <v>0</v>
      </c>
      <c r="O66" s="12">
        <f t="shared" si="39"/>
        <v>0</v>
      </c>
      <c r="P66" s="12">
        <f t="shared" si="39"/>
        <v>0</v>
      </c>
      <c r="Q66" s="12">
        <f t="shared" si="39"/>
        <v>0</v>
      </c>
      <c r="R66" s="12">
        <f>+R68+R67</f>
        <v>0</v>
      </c>
      <c r="S66" s="12">
        <f>+S68+S67</f>
        <v>0</v>
      </c>
      <c r="T66" s="12">
        <f>+T68+T67</f>
        <v>0</v>
      </c>
      <c r="U66" s="12">
        <f>+U68+U67</f>
        <v>0</v>
      </c>
    </row>
    <row r="67" spans="2:33" ht="13.5" outlineLevel="1" x14ac:dyDescent="0.35">
      <c r="B67" s="2" t="s">
        <v>36</v>
      </c>
      <c r="C67" s="30"/>
      <c r="D67" s="166">
        <f>+'Historical Financials'!CB118</f>
        <v>41114</v>
      </c>
      <c r="E67" s="166">
        <f>+'Historical Financials'!CC118</f>
        <v>54855</v>
      </c>
      <c r="F67" s="166">
        <f>+'Historical Financials'!CD118</f>
        <v>61954</v>
      </c>
      <c r="G67" s="166">
        <f>+'Historical Financials'!CE118</f>
        <v>47998</v>
      </c>
      <c r="H67" s="166">
        <f>+'Historical Financials'!CF118</f>
        <v>40738</v>
      </c>
      <c r="I67" s="166">
        <f>+'Historical Financials'!CG118</f>
        <v>65403</v>
      </c>
      <c r="J67" s="166">
        <f>+'Historical Financials'!CH118</f>
        <v>77951.092279885008</v>
      </c>
      <c r="K67" s="31">
        <v>0</v>
      </c>
      <c r="L67" s="31">
        <f t="shared" ref="L67:U67" si="40">+K67*1.03</f>
        <v>0</v>
      </c>
      <c r="M67" s="31">
        <f t="shared" si="40"/>
        <v>0</v>
      </c>
      <c r="N67" s="31">
        <f t="shared" si="40"/>
        <v>0</v>
      </c>
      <c r="O67" s="31">
        <f t="shared" si="40"/>
        <v>0</v>
      </c>
      <c r="P67" s="31">
        <f t="shared" si="40"/>
        <v>0</v>
      </c>
      <c r="Q67" s="31">
        <f t="shared" si="40"/>
        <v>0</v>
      </c>
      <c r="R67" s="31">
        <f t="shared" si="40"/>
        <v>0</v>
      </c>
      <c r="S67" s="31">
        <f t="shared" si="40"/>
        <v>0</v>
      </c>
      <c r="T67" s="31">
        <f t="shared" si="40"/>
        <v>0</v>
      </c>
      <c r="U67" s="31">
        <f t="shared" si="40"/>
        <v>0</v>
      </c>
    </row>
    <row r="68" spans="2:33" x14ac:dyDescent="0.2">
      <c r="B68" s="24" t="s">
        <v>37</v>
      </c>
      <c r="C68" s="30">
        <f t="shared" ref="C68:I68" si="41">+C66-C67</f>
        <v>0</v>
      </c>
      <c r="D68" s="26">
        <f t="shared" si="41"/>
        <v>-41114</v>
      </c>
      <c r="E68" s="26">
        <f t="shared" si="41"/>
        <v>-54855</v>
      </c>
      <c r="F68" s="26">
        <f t="shared" si="41"/>
        <v>-61954</v>
      </c>
      <c r="G68" s="26">
        <f t="shared" si="41"/>
        <v>-47998</v>
      </c>
      <c r="H68" s="26">
        <f t="shared" si="41"/>
        <v>-30815</v>
      </c>
      <c r="I68" s="26">
        <f t="shared" si="41"/>
        <v>-47018</v>
      </c>
      <c r="J68" s="26">
        <f>+J66-J67</f>
        <v>-49128.092279885008</v>
      </c>
      <c r="K68" s="12">
        <f>K69*K30</f>
        <v>0</v>
      </c>
      <c r="L68" s="12">
        <f t="shared" ref="L68:T68" si="42">L69*L30</f>
        <v>0</v>
      </c>
      <c r="M68" s="12">
        <f t="shared" si="42"/>
        <v>0</v>
      </c>
      <c r="N68" s="12">
        <f t="shared" si="42"/>
        <v>0</v>
      </c>
      <c r="O68" s="12">
        <f t="shared" si="42"/>
        <v>0</v>
      </c>
      <c r="P68" s="12">
        <f t="shared" si="42"/>
        <v>0</v>
      </c>
      <c r="Q68" s="12">
        <f t="shared" si="42"/>
        <v>0</v>
      </c>
      <c r="R68" s="12">
        <f t="shared" si="42"/>
        <v>0</v>
      </c>
      <c r="S68" s="12">
        <f t="shared" si="42"/>
        <v>0</v>
      </c>
      <c r="T68" s="12">
        <f t="shared" si="42"/>
        <v>0</v>
      </c>
      <c r="U68" s="12">
        <f>U69*U30</f>
        <v>0</v>
      </c>
      <c r="W68" s="250">
        <f>_xll.ciqfunctions.udf.CIQ($B$2, "IQ_NET_DEBT_EST", "FY2024")</f>
        <v>-49107.12758</v>
      </c>
      <c r="X68" s="250">
        <f>_xll.ciqfunctions.udf.CIQ($B$2, "IQ_NET_DEBT_EST", "FY2025")</f>
        <v>-57015.090779999999</v>
      </c>
    </row>
    <row r="69" spans="2:33" s="7" customFormat="1" x14ac:dyDescent="0.2">
      <c r="B69" s="98" t="s">
        <v>38</v>
      </c>
      <c r="C69" s="14"/>
      <c r="D69" s="32" t="str">
        <f t="shared" ref="D69:J69" si="43">IF(OR(D68&lt;0,D30&lt;0),"n/m",D68/D30)</f>
        <v>n/m</v>
      </c>
      <c r="E69" s="32" t="str">
        <f t="shared" si="43"/>
        <v>n/m</v>
      </c>
      <c r="F69" s="32" t="str">
        <f t="shared" si="43"/>
        <v>n/m</v>
      </c>
      <c r="G69" s="32" t="str">
        <f t="shared" si="43"/>
        <v>n/m</v>
      </c>
      <c r="H69" s="32" t="str">
        <f t="shared" si="43"/>
        <v>n/m</v>
      </c>
      <c r="I69" s="32" t="str">
        <f t="shared" si="43"/>
        <v>n/m</v>
      </c>
      <c r="J69" s="32" t="str">
        <f t="shared" si="43"/>
        <v>n/m</v>
      </c>
      <c r="K69" s="33">
        <v>0</v>
      </c>
      <c r="L69" s="34">
        <f t="shared" ref="L69:U69" si="44">K69</f>
        <v>0</v>
      </c>
      <c r="M69" s="34">
        <f t="shared" si="44"/>
        <v>0</v>
      </c>
      <c r="N69" s="34">
        <f t="shared" si="44"/>
        <v>0</v>
      </c>
      <c r="O69" s="34">
        <f t="shared" si="44"/>
        <v>0</v>
      </c>
      <c r="P69" s="34">
        <f t="shared" si="44"/>
        <v>0</v>
      </c>
      <c r="Q69" s="34">
        <f t="shared" si="44"/>
        <v>0</v>
      </c>
      <c r="R69" s="34">
        <f t="shared" si="44"/>
        <v>0</v>
      </c>
      <c r="S69" s="34">
        <f t="shared" si="44"/>
        <v>0</v>
      </c>
      <c r="T69" s="34">
        <f t="shared" si="44"/>
        <v>0</v>
      </c>
      <c r="U69" s="34">
        <f t="shared" si="44"/>
        <v>0</v>
      </c>
    </row>
    <row r="70" spans="2:33" x14ac:dyDescent="0.2">
      <c r="C70" s="12"/>
      <c r="D70" s="12"/>
      <c r="E70" s="12"/>
      <c r="F70" s="12"/>
      <c r="G70" s="12"/>
      <c r="H70" s="12"/>
      <c r="I70" s="12"/>
      <c r="J70" s="12"/>
      <c r="K70" s="12"/>
      <c r="L70" s="12"/>
      <c r="M70" s="12"/>
      <c r="N70" s="12"/>
    </row>
    <row r="71" spans="2:33" x14ac:dyDescent="0.2">
      <c r="B71" s="2" t="s">
        <v>39</v>
      </c>
      <c r="C71" s="12"/>
      <c r="D71" s="12"/>
      <c r="E71" s="12"/>
      <c r="F71" s="12"/>
      <c r="G71" s="12"/>
      <c r="H71" s="12"/>
      <c r="I71" s="12"/>
      <c r="J71" s="12"/>
      <c r="K71" s="12">
        <f t="shared" ref="K71:U71" si="45">K64+(K68-J68)</f>
        <v>92170.178089795911</v>
      </c>
      <c r="L71" s="12">
        <f t="shared" si="45"/>
        <v>60490.347654318946</v>
      </c>
      <c r="M71" s="12">
        <f t="shared" si="45"/>
        <v>81070.635161834129</v>
      </c>
      <c r="N71" s="12">
        <f t="shared" si="45"/>
        <v>102223.14236420399</v>
      </c>
      <c r="O71" s="12">
        <f t="shared" si="45"/>
        <v>126176.78168011383</v>
      </c>
      <c r="P71" s="12">
        <f t="shared" si="45"/>
        <v>153120.22103315304</v>
      </c>
      <c r="Q71" s="12">
        <f t="shared" si="45"/>
        <v>178326.33783215884</v>
      </c>
      <c r="R71" s="12">
        <f t="shared" si="45"/>
        <v>205887.47734598187</v>
      </c>
      <c r="S71" s="12">
        <f t="shared" si="45"/>
        <v>236483.72369406687</v>
      </c>
      <c r="T71" s="12">
        <f t="shared" si="45"/>
        <v>269339.82913741516</v>
      </c>
      <c r="U71" s="12">
        <f t="shared" si="45"/>
        <v>305932.76692401792</v>
      </c>
      <c r="W71" s="12">
        <f>W64+(W68-I68)</f>
        <v>46583.557219999995</v>
      </c>
      <c r="X71" s="12">
        <f>X64+(X68-W68)</f>
        <v>26381.970829999991</v>
      </c>
    </row>
    <row r="72" spans="2:33" x14ac:dyDescent="0.2">
      <c r="C72" s="12"/>
      <c r="D72" s="12"/>
      <c r="E72" s="12"/>
      <c r="F72" s="12"/>
      <c r="G72" s="12"/>
      <c r="H72" s="12"/>
      <c r="I72" s="12"/>
      <c r="J72" s="12"/>
      <c r="K72" s="12"/>
      <c r="L72" s="12"/>
      <c r="M72" s="12"/>
      <c r="N72" s="12"/>
    </row>
    <row r="73" spans="2:33" x14ac:dyDescent="0.2">
      <c r="B73" s="2" t="s">
        <v>40</v>
      </c>
      <c r="C73" s="12"/>
      <c r="D73" s="12"/>
      <c r="E73" s="12"/>
      <c r="F73" s="12"/>
      <c r="G73" s="12"/>
      <c r="H73" s="12"/>
      <c r="I73" s="12"/>
      <c r="J73" s="12"/>
      <c r="K73" s="12">
        <f t="shared" ref="K73:U73" si="46">J73+K71</f>
        <v>92170.178089795911</v>
      </c>
      <c r="L73" s="12">
        <f t="shared" si="46"/>
        <v>152660.52574411486</v>
      </c>
      <c r="M73" s="12">
        <f t="shared" si="46"/>
        <v>233731.16090594899</v>
      </c>
      <c r="N73" s="12">
        <f t="shared" si="46"/>
        <v>335954.303270153</v>
      </c>
      <c r="O73" s="12">
        <f t="shared" si="46"/>
        <v>462131.08495026681</v>
      </c>
      <c r="P73" s="12">
        <f t="shared" si="46"/>
        <v>615251.30598341988</v>
      </c>
      <c r="Q73" s="12">
        <f t="shared" si="46"/>
        <v>793577.64381557866</v>
      </c>
      <c r="R73" s="12">
        <f t="shared" si="46"/>
        <v>999465.12116156053</v>
      </c>
      <c r="S73" s="12">
        <f t="shared" si="46"/>
        <v>1235948.8448556275</v>
      </c>
      <c r="T73" s="12">
        <f t="shared" si="46"/>
        <v>1505288.6739930427</v>
      </c>
      <c r="U73" s="12">
        <f t="shared" si="46"/>
        <v>1811221.4409170607</v>
      </c>
      <c r="W73" s="12">
        <f>V73+W71</f>
        <v>46583.557219999995</v>
      </c>
      <c r="X73" s="12">
        <f>W73+X71</f>
        <v>72965.528049999994</v>
      </c>
    </row>
    <row r="74" spans="2:33" s="7" customFormat="1" x14ac:dyDescent="0.2">
      <c r="B74" s="13" t="s">
        <v>41</v>
      </c>
      <c r="C74" s="14"/>
      <c r="D74" s="19"/>
      <c r="E74" s="19"/>
      <c r="F74" s="19"/>
      <c r="G74" s="19"/>
      <c r="H74" s="19"/>
      <c r="I74" s="19"/>
      <c r="J74" s="19"/>
      <c r="K74" s="19">
        <f t="shared" ref="K74:T74" si="47">K73/$D$94</f>
        <v>6.0545624320806395E-2</v>
      </c>
      <c r="L74" s="19">
        <f t="shared" si="47"/>
        <v>0.1002810999379337</v>
      </c>
      <c r="M74" s="19">
        <f t="shared" si="47"/>
        <v>0.15353555079920397</v>
      </c>
      <c r="N74" s="19">
        <f t="shared" si="47"/>
        <v>0.22068486202702509</v>
      </c>
      <c r="O74" s="35">
        <f t="shared" si="47"/>
        <v>0.30356906795933775</v>
      </c>
      <c r="P74" s="19">
        <f t="shared" si="47"/>
        <v>0.40415213691641599</v>
      </c>
      <c r="Q74" s="19">
        <f t="shared" si="47"/>
        <v>0.52129283991443265</v>
      </c>
      <c r="R74" s="19">
        <f t="shared" si="47"/>
        <v>0.65653816670119314</v>
      </c>
      <c r="S74" s="19">
        <f t="shared" si="47"/>
        <v>0.8118818471573287</v>
      </c>
      <c r="T74" s="19">
        <f t="shared" si="47"/>
        <v>0.98880835904598796</v>
      </c>
      <c r="U74" s="19">
        <f>U73/$D$94</f>
        <v>1.1897723883826858</v>
      </c>
    </row>
    <row r="75" spans="2:33" x14ac:dyDescent="0.2">
      <c r="C75" s="12"/>
      <c r="D75" s="12"/>
      <c r="E75" s="12"/>
      <c r="F75" s="12"/>
      <c r="G75" s="12"/>
      <c r="H75" s="12"/>
      <c r="I75" s="12"/>
      <c r="J75" s="12"/>
      <c r="K75" s="12"/>
      <c r="L75" s="12"/>
      <c r="M75" s="12"/>
      <c r="N75" s="12"/>
    </row>
    <row r="76" spans="2:33" x14ac:dyDescent="0.2">
      <c r="B76" s="36" t="s">
        <v>42</v>
      </c>
      <c r="C76" s="12"/>
      <c r="D76" s="12"/>
      <c r="E76" s="12"/>
      <c r="F76" s="12"/>
      <c r="G76" s="12"/>
      <c r="H76" s="12"/>
      <c r="I76" s="12"/>
      <c r="J76" s="12"/>
      <c r="K76" s="12"/>
      <c r="L76" s="12"/>
      <c r="M76" s="12"/>
      <c r="N76" s="12"/>
    </row>
    <row r="77" spans="2:33" x14ac:dyDescent="0.2">
      <c r="B77" s="23" t="s">
        <v>43</v>
      </c>
      <c r="C77" s="12"/>
      <c r="D77" s="37">
        <f>+$D$96/D8</f>
        <v>26.509706651384363</v>
      </c>
      <c r="E77" s="37">
        <f>+$D$96/E8</f>
        <v>20.937932302643677</v>
      </c>
      <c r="F77" s="37">
        <f>+$D$96/F8</f>
        <v>17.219005188097618</v>
      </c>
      <c r="G77" s="37">
        <f>+$D$96/G8</f>
        <v>12.552035546812064</v>
      </c>
      <c r="H77" s="37">
        <f>+$D$96/H8</f>
        <v>12.694123095129878</v>
      </c>
      <c r="I77" s="37">
        <f>+($D$94+I$68)/I8</f>
        <v>10.936227307432858</v>
      </c>
      <c r="J77" s="37">
        <f t="shared" ref="J77:U77" si="48">+($D$94-J73+J68)/J8</f>
        <v>9.0401600305072485</v>
      </c>
      <c r="K77" s="37">
        <f t="shared" si="48"/>
        <v>7.47622561843525</v>
      </c>
      <c r="L77" s="37">
        <f t="shared" si="48"/>
        <v>6.123699915445755</v>
      </c>
      <c r="M77" s="37">
        <f t="shared" si="48"/>
        <v>4.9469059743505195</v>
      </c>
      <c r="N77" s="37">
        <f t="shared" si="48"/>
        <v>3.9262166536778689</v>
      </c>
      <c r="O77" s="37">
        <f t="shared" si="48"/>
        <v>3.0366470146640494</v>
      </c>
      <c r="P77" s="37">
        <f t="shared" si="48"/>
        <v>2.2574910777657355</v>
      </c>
      <c r="Q77" s="37">
        <f t="shared" si="48"/>
        <v>1.5821751464260996</v>
      </c>
      <c r="R77" s="37">
        <f t="shared" si="48"/>
        <v>0.99420727302578893</v>
      </c>
      <c r="S77" s="37">
        <f t="shared" si="48"/>
        <v>0.47880984899719714</v>
      </c>
      <c r="T77" s="37">
        <f t="shared" si="48"/>
        <v>2.5146668219530575E-2</v>
      </c>
      <c r="U77" s="37">
        <f t="shared" si="48"/>
        <v>-0.37791555676115191</v>
      </c>
      <c r="W77" s="37">
        <f>+($D$94-W73+W68)/W8</f>
        <v>8.7527982295750171</v>
      </c>
      <c r="X77" s="37">
        <f>+($D$94-X73+X68)/X8</f>
        <v>7.4445680899510815</v>
      </c>
    </row>
    <row r="78" spans="2:33" x14ac:dyDescent="0.2">
      <c r="B78" s="23" t="s">
        <v>44</v>
      </c>
      <c r="C78" s="12"/>
      <c r="D78" s="37">
        <f>+$D$96/D30</f>
        <v>50.644895305871081</v>
      </c>
      <c r="E78" s="37">
        <f>+$D$96/E30</f>
        <v>41.960739291889901</v>
      </c>
      <c r="F78" s="37">
        <f>+$D$96/F30</f>
        <v>37.443376419699995</v>
      </c>
      <c r="G78" s="37">
        <f>+$D$96/G30</f>
        <v>27.051828432537146</v>
      </c>
      <c r="H78" s="37">
        <f>+$D$96/H30</f>
        <v>35.042114483215755</v>
      </c>
      <c r="I78" s="37">
        <f>+($D$94+I$68)/I30</f>
        <v>23.325027667984191</v>
      </c>
      <c r="J78" s="37">
        <f>+($D$94-J73+J68)/J30</f>
        <v>17.665245610303273</v>
      </c>
      <c r="K78" s="37">
        <f t="shared" ref="K78:T78" si="49">+($D$94-K73+K68)/K30</f>
        <v>13.44834395208877</v>
      </c>
      <c r="L78" s="37">
        <f t="shared" si="49"/>
        <v>10.425742955441759</v>
      </c>
      <c r="M78" s="37">
        <f t="shared" si="49"/>
        <v>8.0707492916073686</v>
      </c>
      <c r="N78" s="37">
        <f t="shared" si="49"/>
        <v>6.1941394538683463</v>
      </c>
      <c r="O78" s="37">
        <f t="shared" si="49"/>
        <v>4.6714227850944186</v>
      </c>
      <c r="P78" s="37">
        <f t="shared" si="49"/>
        <v>3.4090218057616246</v>
      </c>
      <c r="Q78" s="37">
        <f t="shared" si="49"/>
        <v>2.3604211789609755</v>
      </c>
      <c r="R78" s="37">
        <f t="shared" si="49"/>
        <v>1.4702089696840412</v>
      </c>
      <c r="S78" s="37">
        <f t="shared" si="49"/>
        <v>0.70264560521838793</v>
      </c>
      <c r="T78" s="37">
        <f t="shared" si="49"/>
        <v>3.6761424557898013E-2</v>
      </c>
      <c r="U78" s="37">
        <f>+($D$94-U73+U68)/U30</f>
        <v>-0.55000656531048331</v>
      </c>
      <c r="W78" s="37">
        <f>+($D$94-W73+W68)/W29</f>
        <v>95.563363518895201</v>
      </c>
      <c r="X78" s="37">
        <f>+($D$94-X73+X68)/X29</f>
        <v>71.505517144634567</v>
      </c>
    </row>
    <row r="79" spans="2:33" x14ac:dyDescent="0.2">
      <c r="B79" s="23" t="s">
        <v>314</v>
      </c>
      <c r="C79" s="12"/>
      <c r="D79" s="37">
        <f>+$D$96/D44</f>
        <v>96.659853728614337</v>
      </c>
      <c r="E79" s="37">
        <f>+$D$96/E44</f>
        <v>75.434388217907554</v>
      </c>
      <c r="F79" s="37">
        <f>+$D$96/F44</f>
        <v>62.156162082720975</v>
      </c>
      <c r="G79" s="37">
        <f>+$D$96/G44</f>
        <v>41.726539816772373</v>
      </c>
      <c r="H79" s="37">
        <f>+$D$96/H44</f>
        <v>145.03713501861651</v>
      </c>
      <c r="I79" s="37">
        <f>+($D$94+I$68)/I44</f>
        <v>41.975360628218624</v>
      </c>
      <c r="J79" s="37">
        <f>+($D$94-J73+J68)/J44</f>
        <v>32.434441792470885</v>
      </c>
      <c r="K79" s="37">
        <f t="shared" ref="K79:T79" si="50">+($D$94-K73+K68)/K44</f>
        <v>23.664809027574666</v>
      </c>
      <c r="L79" s="37">
        <f t="shared" si="50"/>
        <v>16.669324648467654</v>
      </c>
      <c r="M79" s="37">
        <f t="shared" si="50"/>
        <v>11.979645824101986</v>
      </c>
      <c r="N79" s="37">
        <f t="shared" si="50"/>
        <v>8.8456213282148433</v>
      </c>
      <c r="O79" s="37">
        <f t="shared" si="50"/>
        <v>6.4602972752845682</v>
      </c>
      <c r="P79" s="37">
        <f t="shared" si="50"/>
        <v>4.5864313625617203</v>
      </c>
      <c r="Q79" s="37">
        <f t="shared" si="50"/>
        <v>3.16249344587979</v>
      </c>
      <c r="R79" s="37">
        <f t="shared" si="50"/>
        <v>1.9639230618425914</v>
      </c>
      <c r="S79" s="37">
        <f t="shared" si="50"/>
        <v>0.9362019872960845</v>
      </c>
      <c r="T79" s="37">
        <f t="shared" si="50"/>
        <v>4.8918679622537792E-2</v>
      </c>
      <c r="U79" s="37">
        <f>+($D$94-U73+U68)/U44</f>
        <v>-0.73082096981591271</v>
      </c>
      <c r="W79" s="37">
        <f>($D$94-W73+W68)/W44</f>
        <v>33.647114163963678</v>
      </c>
      <c r="X79" s="37">
        <f>($D$94-X73+X68)/X44</f>
        <v>53.699949358776173</v>
      </c>
    </row>
    <row r="80" spans="2:33" x14ac:dyDescent="0.2">
      <c r="B80" s="23" t="s">
        <v>45</v>
      </c>
      <c r="C80" s="12"/>
      <c r="D80" s="37">
        <f>$D$94/D54</f>
        <v>142.4092125203465</v>
      </c>
      <c r="E80" s="37">
        <f>$D$94/E54</f>
        <v>105.88915320729519</v>
      </c>
      <c r="F80" s="37">
        <f>$D$94/F54</f>
        <v>86.065468113975584</v>
      </c>
      <c r="G80" s="37">
        <f>$D$94/G54</f>
        <v>57.334623902137729</v>
      </c>
      <c r="H80" s="37">
        <f>$D$94/H54</f>
        <v>448.53447259870359</v>
      </c>
      <c r="I80" s="37">
        <f t="shared" ref="I80:T80" si="51">($D$94-I$73)/I54</f>
        <v>60.232887552425417</v>
      </c>
      <c r="J80" s="37">
        <f t="shared" si="51"/>
        <v>46.546209356231131</v>
      </c>
      <c r="K80" s="37">
        <f t="shared" si="51"/>
        <v>33.226917213684274</v>
      </c>
      <c r="L80" s="37">
        <f t="shared" si="51"/>
        <v>22.64271123193144</v>
      </c>
      <c r="M80" s="37">
        <f t="shared" si="51"/>
        <v>15.894717446357033</v>
      </c>
      <c r="N80" s="37">
        <f t="shared" si="51"/>
        <v>11.605705609234773</v>
      </c>
      <c r="O80" s="37">
        <f t="shared" si="51"/>
        <v>8.4024564657035139</v>
      </c>
      <c r="P80" s="37">
        <f t="shared" si="51"/>
        <v>5.9239379873947779</v>
      </c>
      <c r="Q80" s="37">
        <f t="shared" si="51"/>
        <v>4.0865996859663039</v>
      </c>
      <c r="R80" s="37">
        <f t="shared" si="51"/>
        <v>2.5395467736962085</v>
      </c>
      <c r="S80" s="37">
        <f t="shared" si="51"/>
        <v>1.210980403517544</v>
      </c>
      <c r="T80" s="37">
        <f t="shared" si="51"/>
        <v>6.3255872930197091E-2</v>
      </c>
      <c r="U80" s="37">
        <f>($D$94-U$73)/U54</f>
        <v>-0.94431022809927179</v>
      </c>
      <c r="W80" s="37">
        <f>($D$94-W$73)/W54</f>
        <v>43.3805310862992</v>
      </c>
      <c r="X80" s="37">
        <f>($D$94-X$73)/X54</f>
        <v>83.194527735067439</v>
      </c>
      <c r="Y80" s="2">
        <f t="shared" ref="Y80:AG80" si="52">+$E$94/D80</f>
        <v>4.1114615384615387</v>
      </c>
      <c r="Z80" s="2">
        <f t="shared" si="52"/>
        <v>5.529461538461538</v>
      </c>
      <c r="AA80" s="2">
        <f t="shared" si="52"/>
        <v>6.8030769230769224</v>
      </c>
      <c r="AB80" s="2">
        <f t="shared" si="52"/>
        <v>10.212153846153845</v>
      </c>
      <c r="AC80" s="2">
        <f t="shared" si="52"/>
        <v>1.3053846153846154</v>
      </c>
      <c r="AD80" s="2">
        <f t="shared" si="52"/>
        <v>9.7207692307692302</v>
      </c>
      <c r="AE80" s="2">
        <f t="shared" si="52"/>
        <v>12.579112415340388</v>
      </c>
      <c r="AF80" s="2">
        <f t="shared" si="52"/>
        <v>17.621556530043112</v>
      </c>
      <c r="AG80" s="2">
        <f t="shared" si="52"/>
        <v>25.858652437977302</v>
      </c>
    </row>
    <row r="81" spans="2:27" x14ac:dyDescent="0.2">
      <c r="B81" s="23" t="s">
        <v>46</v>
      </c>
      <c r="C81" s="12"/>
      <c r="D81" s="37">
        <f>$D$94/D58</f>
        <v>75.032825992665906</v>
      </c>
      <c r="E81" s="37">
        <f>$D$94/E58</f>
        <v>62.673983927277519</v>
      </c>
      <c r="F81" s="37">
        <f>$D$94/F58</f>
        <v>57.351039783001809</v>
      </c>
      <c r="G81" s="37">
        <f>$D$94/G58</f>
        <v>40.241662613403264</v>
      </c>
      <c r="H81" s="37">
        <f>$D$94/H58</f>
        <v>56.922150762787915</v>
      </c>
      <c r="I81" s="37">
        <f t="shared" ref="I81:T81" si="53">($D$94-I$73)/I58</f>
        <v>36.074075829383887</v>
      </c>
      <c r="J81" s="37">
        <f t="shared" si="53"/>
        <v>27.556213136364011</v>
      </c>
      <c r="K81" s="37">
        <f t="shared" si="53"/>
        <v>20.557931241018132</v>
      </c>
      <c r="L81" s="37">
        <f t="shared" si="53"/>
        <v>15.796679955866205</v>
      </c>
      <c r="M81" s="37">
        <f t="shared" si="53"/>
        <v>12.158978420671636</v>
      </c>
      <c r="N81" s="37">
        <f t="shared" si="53"/>
        <v>9.2985998445755893</v>
      </c>
      <c r="O81" s="37">
        <f t="shared" si="53"/>
        <v>6.9873734963214185</v>
      </c>
      <c r="P81" s="37">
        <f t="shared" si="53"/>
        <v>5.0784299813560532</v>
      </c>
      <c r="Q81" s="37">
        <f t="shared" si="53"/>
        <v>3.4963092343129625</v>
      </c>
      <c r="R81" s="37">
        <f t="shared" si="53"/>
        <v>2.1661175403239228</v>
      </c>
      <c r="S81" s="37">
        <f t="shared" si="53"/>
        <v>1.0314877310414441</v>
      </c>
      <c r="T81" s="37">
        <f t="shared" si="53"/>
        <v>5.3957453800653699E-2</v>
      </c>
      <c r="U81" s="37">
        <f>($D$94-U$73)/U58</f>
        <v>-0.80814571451484252</v>
      </c>
      <c r="W81" s="37">
        <f>($D$94-W$73)/W58</f>
        <v>25.680420314651602</v>
      </c>
      <c r="X81" s="37">
        <f>($D$94-X$73)/X58</f>
        <v>22.346140734947209</v>
      </c>
    </row>
    <row r="82" spans="2:27" x14ac:dyDescent="0.2">
      <c r="B82" s="23" t="s">
        <v>323</v>
      </c>
      <c r="C82" s="12"/>
      <c r="D82" s="240" t="s">
        <v>127</v>
      </c>
      <c r="E82" s="240" t="s">
        <v>127</v>
      </c>
      <c r="F82" s="240" t="s">
        <v>127</v>
      </c>
      <c r="G82" s="37">
        <f>+($D$94)/(G58+G23*(1-G52))</f>
        <v>33.105558455114824</v>
      </c>
      <c r="H82" s="37">
        <f>+($D$94)/(H58+H23*(1-H52))</f>
        <v>40.806902985074629</v>
      </c>
      <c r="I82" s="37">
        <f t="shared" ref="I82:T82" si="54">($D$94-I$73)/(I58+I23*(1-I52))</f>
        <v>27.878569230994625</v>
      </c>
      <c r="J82" s="37">
        <f t="shared" si="54"/>
        <v>21.858560999505716</v>
      </c>
      <c r="K82" s="37">
        <f t="shared" si="54"/>
        <v>17.363190932314769</v>
      </c>
      <c r="L82" s="37">
        <f t="shared" si="54"/>
        <v>13.989610089932356</v>
      </c>
      <c r="M82" s="37">
        <f t="shared" si="54"/>
        <v>11.14905170101089</v>
      </c>
      <c r="N82" s="37">
        <f t="shared" si="54"/>
        <v>8.7499534719832752</v>
      </c>
      <c r="O82" s="37">
        <f t="shared" si="54"/>
        <v>6.7045735175005472</v>
      </c>
      <c r="P82" s="37">
        <f t="shared" si="54"/>
        <v>4.9455253581677878</v>
      </c>
      <c r="Q82" s="37">
        <f t="shared" si="54"/>
        <v>3.4434433897162484</v>
      </c>
      <c r="R82" s="37">
        <f t="shared" si="54"/>
        <v>2.1518539569076136</v>
      </c>
      <c r="S82" s="37">
        <f t="shared" si="54"/>
        <v>1.0314877310414441</v>
      </c>
      <c r="T82" s="37">
        <f t="shared" si="54"/>
        <v>5.3957453800653699E-2</v>
      </c>
      <c r="U82" s="37">
        <f>($D$94-U$73)/(U58+U23*(1-U52))</f>
        <v>-0.80814571451484252</v>
      </c>
      <c r="W82" s="176" t="s">
        <v>324</v>
      </c>
      <c r="X82" s="176" t="s">
        <v>324</v>
      </c>
    </row>
    <row r="83" spans="2:27" x14ac:dyDescent="0.2">
      <c r="C83" s="12"/>
      <c r="E83" s="12"/>
      <c r="F83" s="12"/>
      <c r="G83" s="12"/>
      <c r="H83" s="12"/>
      <c r="I83" s="12"/>
      <c r="J83" s="12"/>
      <c r="K83" s="12"/>
      <c r="L83" s="12"/>
      <c r="Z83" s="2">
        <f>+G81/AA83-1</f>
        <v>0.30599553331978657</v>
      </c>
      <c r="AA83" s="2">
        <v>30.813017033152189</v>
      </c>
    </row>
    <row r="84" spans="2:27" x14ac:dyDescent="0.2">
      <c r="B84" s="36" t="s">
        <v>47</v>
      </c>
      <c r="C84" s="12"/>
      <c r="D84" s="12"/>
      <c r="E84" s="12"/>
      <c r="F84" s="12"/>
      <c r="G84" s="12"/>
      <c r="H84" s="12"/>
      <c r="I84" s="12"/>
      <c r="J84" s="12"/>
      <c r="K84" s="12"/>
      <c r="L84" s="12"/>
    </row>
    <row r="85" spans="2:27" ht="13.5" x14ac:dyDescent="0.35">
      <c r="B85" s="2" t="s">
        <v>48</v>
      </c>
      <c r="C85" s="12"/>
      <c r="D85" s="12"/>
      <c r="E85" s="12"/>
      <c r="F85" s="12"/>
      <c r="G85" s="12"/>
      <c r="H85" s="12"/>
      <c r="I85" s="12"/>
      <c r="J85" s="12"/>
      <c r="K85" s="38"/>
      <c r="L85" s="38"/>
      <c r="M85" s="38"/>
      <c r="N85" s="38"/>
      <c r="O85" s="38"/>
      <c r="P85" s="38"/>
      <c r="Q85" s="38"/>
      <c r="R85" s="38"/>
      <c r="S85" s="38"/>
      <c r="T85" s="38">
        <v>15</v>
      </c>
    </row>
    <row r="86" spans="2:27" x14ac:dyDescent="0.2">
      <c r="B86" s="2" t="s">
        <v>49</v>
      </c>
      <c r="C86" s="12"/>
      <c r="D86" s="12"/>
      <c r="E86" s="12"/>
      <c r="F86" s="12"/>
      <c r="G86" s="12"/>
      <c r="H86" s="12"/>
      <c r="I86" s="12"/>
      <c r="J86" s="12"/>
      <c r="K86" s="12"/>
      <c r="L86" s="12"/>
      <c r="M86" s="12"/>
      <c r="N86" s="12"/>
      <c r="O86" s="12"/>
      <c r="P86" s="12"/>
      <c r="Q86" s="12"/>
      <c r="R86" s="12"/>
      <c r="S86" s="12"/>
      <c r="T86" s="12">
        <f>T85*U54</f>
        <v>4588991.5038602687</v>
      </c>
    </row>
    <row r="87" spans="2:27" ht="13.5" x14ac:dyDescent="0.35">
      <c r="C87" s="12"/>
      <c r="D87" s="12"/>
      <c r="E87" s="12"/>
      <c r="F87" s="12"/>
      <c r="G87" s="12"/>
      <c r="H87" s="12"/>
      <c r="I87" s="12"/>
      <c r="J87" s="12"/>
      <c r="K87" s="12"/>
      <c r="L87" s="12"/>
      <c r="M87" s="12"/>
      <c r="N87" s="39"/>
      <c r="O87" s="39"/>
      <c r="P87" s="39"/>
      <c r="Q87" s="39"/>
      <c r="R87" s="39"/>
      <c r="S87" s="39"/>
      <c r="T87" s="39"/>
      <c r="U87" s="39" t="s">
        <v>50</v>
      </c>
    </row>
    <row r="88" spans="2:27" x14ac:dyDescent="0.2">
      <c r="B88" s="2" t="s">
        <v>51</v>
      </c>
      <c r="C88" s="12"/>
      <c r="D88" s="12"/>
      <c r="E88" s="12"/>
      <c r="F88" s="12"/>
      <c r="G88" s="12"/>
      <c r="H88" s="12"/>
      <c r="I88" s="12"/>
      <c r="J88" s="12">
        <f>-D94</f>
        <v>-1522326</v>
      </c>
      <c r="K88" s="12">
        <f t="shared" ref="K88:S88" si="55">+K71</f>
        <v>92170.178089795911</v>
      </c>
      <c r="L88" s="12">
        <f t="shared" si="55"/>
        <v>60490.347654318946</v>
      </c>
      <c r="M88" s="12">
        <f t="shared" si="55"/>
        <v>81070.635161834129</v>
      </c>
      <c r="N88" s="12">
        <f t="shared" si="55"/>
        <v>102223.14236420399</v>
      </c>
      <c r="O88" s="12">
        <f t="shared" si="55"/>
        <v>126176.78168011383</v>
      </c>
      <c r="P88" s="12">
        <f t="shared" si="55"/>
        <v>153120.22103315304</v>
      </c>
      <c r="Q88" s="12">
        <f t="shared" si="55"/>
        <v>178326.33783215884</v>
      </c>
      <c r="R88" s="12">
        <f t="shared" si="55"/>
        <v>205887.47734598187</v>
      </c>
      <c r="S88" s="12">
        <f t="shared" si="55"/>
        <v>236483.72369406687</v>
      </c>
      <c r="T88" s="12">
        <f>T86+T71</f>
        <v>4858331.3329976834</v>
      </c>
      <c r="U88" s="12">
        <f>+SUM(K88:T88)</f>
        <v>6094280.1778533105</v>
      </c>
    </row>
    <row r="89" spans="2:27" x14ac:dyDescent="0.2">
      <c r="C89" s="12"/>
      <c r="D89" s="12"/>
      <c r="E89" s="12"/>
      <c r="F89" s="12"/>
      <c r="G89" s="12"/>
      <c r="H89" s="12"/>
      <c r="I89" s="12"/>
      <c r="J89" s="12"/>
      <c r="L89" s="29"/>
      <c r="M89" s="29"/>
      <c r="N89" s="29"/>
      <c r="O89" s="29"/>
      <c r="P89" s="12"/>
      <c r="Q89" s="12"/>
      <c r="R89" s="12"/>
      <c r="S89" s="12"/>
      <c r="T89" s="12" t="s">
        <v>52</v>
      </c>
      <c r="U89" s="37">
        <f>+U88/-J88</f>
        <v>4.0032687990964551</v>
      </c>
    </row>
    <row r="90" spans="2:27" x14ac:dyDescent="0.2">
      <c r="B90" s="40" t="s">
        <v>53</v>
      </c>
      <c r="C90" s="41"/>
      <c r="D90" s="41"/>
      <c r="E90" s="42">
        <f ca="1">XIRR(J88:T88,J7:T7)</f>
        <v>0.17973113656044012</v>
      </c>
      <c r="F90" s="12"/>
      <c r="G90" s="12"/>
      <c r="H90" s="12"/>
      <c r="I90" s="12"/>
      <c r="J90" s="12"/>
      <c r="K90" s="12"/>
      <c r="L90" s="12"/>
    </row>
    <row r="91" spans="2:27" x14ac:dyDescent="0.2">
      <c r="C91" s="12"/>
      <c r="D91" s="12"/>
      <c r="E91" s="12"/>
      <c r="F91" s="12"/>
      <c r="G91" s="12"/>
      <c r="H91" s="12"/>
      <c r="I91" s="12"/>
      <c r="J91" s="12"/>
      <c r="K91" s="12"/>
      <c r="L91" s="12"/>
    </row>
    <row r="92" spans="2:27" x14ac:dyDescent="0.2">
      <c r="B92" s="129" t="s">
        <v>54</v>
      </c>
      <c r="C92" s="130"/>
      <c r="D92" s="130"/>
      <c r="E92" s="131"/>
      <c r="F92" s="12"/>
      <c r="G92" s="12"/>
      <c r="H92" s="12"/>
      <c r="I92" s="12"/>
      <c r="J92" s="12"/>
      <c r="K92" s="12"/>
      <c r="L92" s="12"/>
    </row>
    <row r="93" spans="2:27" ht="13.5" x14ac:dyDescent="0.35">
      <c r="C93" s="12"/>
      <c r="D93" s="39" t="s">
        <v>55</v>
      </c>
      <c r="E93" s="39" t="s">
        <v>302</v>
      </c>
      <c r="F93" s="12"/>
      <c r="G93" s="12"/>
      <c r="H93" s="12"/>
      <c r="I93" s="12"/>
      <c r="J93" s="12"/>
      <c r="K93" s="12"/>
      <c r="L93" s="12"/>
    </row>
    <row r="94" spans="2:27" x14ac:dyDescent="0.2">
      <c r="B94" s="23" t="s">
        <v>56</v>
      </c>
      <c r="C94" s="12"/>
      <c r="D94" s="12">
        <f>E94*E$98</f>
        <v>1522326</v>
      </c>
      <c r="E94" s="194">
        <f>+'Simple Model - Case 1'!E94</f>
        <v>585.51</v>
      </c>
      <c r="F94" s="179"/>
      <c r="G94" s="12"/>
      <c r="H94" s="12"/>
      <c r="I94" s="12"/>
      <c r="J94" s="12"/>
      <c r="K94" s="12"/>
      <c r="L94" s="12"/>
    </row>
    <row r="95" spans="2:27" ht="13.5" x14ac:dyDescent="0.35">
      <c r="B95" s="2" t="s">
        <v>37</v>
      </c>
      <c r="C95" s="12"/>
      <c r="D95" s="157">
        <f>+'Simple Model - Case 1'!D95</f>
        <v>-42077</v>
      </c>
      <c r="E95" s="43">
        <f>D95/E$98</f>
        <v>-16.18346153846154</v>
      </c>
      <c r="F95" s="12"/>
      <c r="G95" s="12"/>
      <c r="H95" s="12"/>
      <c r="I95" s="12"/>
      <c r="J95" s="12"/>
      <c r="K95" s="12"/>
      <c r="L95" s="12"/>
    </row>
    <row r="96" spans="2:27" x14ac:dyDescent="0.2">
      <c r="B96" s="24" t="s">
        <v>57</v>
      </c>
      <c r="C96" s="12"/>
      <c r="D96" s="12">
        <f>D94+D95</f>
        <v>1480249</v>
      </c>
      <c r="E96" s="155">
        <f>D96/E$98</f>
        <v>569.32653846153846</v>
      </c>
      <c r="F96" s="12"/>
      <c r="G96" s="12"/>
      <c r="H96" s="12"/>
      <c r="I96" s="12"/>
      <c r="J96" s="12"/>
      <c r="K96" s="12"/>
      <c r="L96" s="12"/>
    </row>
    <row r="97" spans="2:12" x14ac:dyDescent="0.2">
      <c r="C97" s="12"/>
      <c r="D97" s="12"/>
      <c r="E97" s="12"/>
      <c r="F97" s="12"/>
      <c r="G97" s="12"/>
      <c r="H97" s="12"/>
      <c r="I97" s="12"/>
      <c r="J97" s="12"/>
      <c r="K97" s="12"/>
      <c r="L97" s="12"/>
    </row>
    <row r="98" spans="2:12" s="7" customFormat="1" x14ac:dyDescent="0.2">
      <c r="B98" s="13" t="s">
        <v>58</v>
      </c>
      <c r="C98" s="14"/>
      <c r="D98" s="14"/>
      <c r="E98" s="156">
        <f>+'Simple Model - Case 1'!E98</f>
        <v>2600</v>
      </c>
      <c r="F98" s="14"/>
      <c r="G98" s="14"/>
      <c r="H98" s="14"/>
      <c r="I98" s="14"/>
      <c r="J98" s="14"/>
      <c r="K98" s="14"/>
      <c r="L98" s="14"/>
    </row>
    <row r="99" spans="2:12" x14ac:dyDescent="0.2">
      <c r="C99" s="12"/>
      <c r="D99" s="12"/>
      <c r="E99" s="12"/>
      <c r="F99" s="12"/>
      <c r="G99" s="12"/>
      <c r="H99" s="12"/>
      <c r="I99" s="12"/>
      <c r="J99" s="12"/>
      <c r="K99" s="12"/>
      <c r="L99" s="12"/>
    </row>
    <row r="100" spans="2:12" x14ac:dyDescent="0.2">
      <c r="C100" s="12"/>
      <c r="D100" s="12"/>
      <c r="E100" s="12"/>
      <c r="F100" s="12"/>
      <c r="G100" s="12"/>
      <c r="H100" s="12"/>
      <c r="I100" s="12"/>
      <c r="J100" s="12"/>
      <c r="K100" s="12"/>
      <c r="L100" s="12"/>
    </row>
    <row r="101" spans="2:12" x14ac:dyDescent="0.2">
      <c r="C101" s="12"/>
      <c r="D101" s="12"/>
      <c r="E101" s="12"/>
      <c r="F101" s="12"/>
      <c r="G101" s="12"/>
      <c r="H101" s="12"/>
      <c r="I101" s="12"/>
      <c r="J101" s="12"/>
      <c r="K101" s="12"/>
      <c r="L101" s="12"/>
    </row>
    <row r="102" spans="2:12" x14ac:dyDescent="0.2">
      <c r="C102" s="12"/>
      <c r="D102" s="12"/>
      <c r="E102" s="12"/>
      <c r="F102" s="12"/>
      <c r="G102" s="12"/>
      <c r="H102" s="12"/>
      <c r="I102" s="12"/>
      <c r="J102" s="12"/>
      <c r="K102" s="12"/>
      <c r="L102" s="12"/>
    </row>
    <row r="103" spans="2:12" x14ac:dyDescent="0.2">
      <c r="C103" s="12"/>
      <c r="D103" s="12"/>
      <c r="E103" s="12"/>
      <c r="F103" s="12"/>
      <c r="G103" s="12"/>
      <c r="H103" s="12"/>
      <c r="I103" s="12"/>
      <c r="J103" s="12"/>
      <c r="K103" s="12"/>
      <c r="L103" s="12"/>
    </row>
    <row r="104" spans="2:12" x14ac:dyDescent="0.2">
      <c r="C104" s="12"/>
      <c r="D104" s="12"/>
      <c r="E104" s="12"/>
      <c r="F104" s="12"/>
      <c r="G104" s="12"/>
      <c r="H104" s="12"/>
      <c r="I104" s="12"/>
      <c r="J104" s="12"/>
      <c r="K104" s="12"/>
      <c r="L104" s="12"/>
    </row>
    <row r="105" spans="2:12" x14ac:dyDescent="0.2">
      <c r="C105" s="12"/>
      <c r="D105" s="12"/>
      <c r="E105" s="12"/>
      <c r="F105" s="12"/>
      <c r="G105" s="12"/>
      <c r="H105" s="12"/>
      <c r="I105" s="12"/>
      <c r="J105" s="12"/>
      <c r="K105" s="12"/>
      <c r="L105" s="12"/>
    </row>
    <row r="106" spans="2:12" x14ac:dyDescent="0.2">
      <c r="C106" s="12"/>
      <c r="D106" s="12"/>
      <c r="E106" s="12"/>
      <c r="F106" s="12"/>
      <c r="G106" s="12"/>
      <c r="H106" s="12"/>
      <c r="I106" s="12"/>
      <c r="J106" s="12"/>
      <c r="K106" s="12"/>
      <c r="L106" s="12"/>
    </row>
    <row r="107" spans="2:12" x14ac:dyDescent="0.2">
      <c r="C107" s="12"/>
      <c r="D107" s="12"/>
      <c r="E107" s="12"/>
      <c r="F107" s="12"/>
      <c r="G107" s="12"/>
      <c r="H107" s="12"/>
      <c r="I107" s="12"/>
      <c r="J107" s="12"/>
      <c r="K107" s="12"/>
      <c r="L107" s="12"/>
    </row>
    <row r="108" spans="2:12" x14ac:dyDescent="0.2">
      <c r="C108" s="12"/>
      <c r="D108" s="12"/>
      <c r="E108" s="12"/>
      <c r="F108" s="12"/>
      <c r="G108" s="12"/>
      <c r="H108" s="12"/>
      <c r="I108" s="12"/>
      <c r="J108" s="12"/>
      <c r="K108" s="12"/>
      <c r="L108" s="12"/>
    </row>
    <row r="109" spans="2:12" x14ac:dyDescent="0.2">
      <c r="C109" s="12"/>
      <c r="D109" s="12"/>
      <c r="E109" s="12"/>
      <c r="F109" s="12"/>
      <c r="G109" s="12"/>
      <c r="H109" s="12"/>
      <c r="I109" s="12"/>
      <c r="J109" s="12"/>
      <c r="K109" s="12"/>
      <c r="L109" s="12"/>
    </row>
  </sheetData>
  <pageMargins left="0.3" right="0.3" top="0.3" bottom="0.3" header="0.3" footer="0.3"/>
  <pageSetup scale="55" orientation="landscape" r:id="rId1"/>
  <headerFoot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727B-FAC8-4ACA-A6A5-559E6A054D87}">
  <sheetPr>
    <pageSetUpPr fitToPage="1"/>
  </sheetPr>
  <dimension ref="B2:AG109"/>
  <sheetViews>
    <sheetView view="pageBreakPreview" zoomScale="85" zoomScaleNormal="100" zoomScaleSheetLayoutView="85" workbookViewId="0">
      <selection activeCell="E17" sqref="E17"/>
    </sheetView>
  </sheetViews>
  <sheetFormatPr defaultColWidth="10.6640625" defaultRowHeight="11.25" outlineLevelRow="1" x14ac:dyDescent="0.2"/>
  <cols>
    <col min="1" max="1" width="4.33203125" style="2" customWidth="1"/>
    <col min="2" max="2" width="25.83203125" style="2" customWidth="1"/>
    <col min="3" max="3" width="3.1640625" style="2" customWidth="1"/>
    <col min="4" max="6" width="10.33203125" style="2" customWidth="1"/>
    <col min="7" max="7" width="10.83203125" style="2" customWidth="1"/>
    <col min="8" max="21" width="10.33203125" style="2" customWidth="1"/>
    <col min="22" max="22" width="2.83203125" style="2" customWidth="1"/>
    <col min="23" max="24" width="10.33203125" style="2" customWidth="1"/>
    <col min="25" max="16384" width="10.6640625" style="2"/>
  </cols>
  <sheetData>
    <row r="2" spans="2:27" x14ac:dyDescent="0.2">
      <c r="B2" s="1" t="s">
        <v>327</v>
      </c>
      <c r="L2" s="3"/>
      <c r="M2" s="3"/>
      <c r="N2" s="3"/>
      <c r="O2" s="3"/>
      <c r="X2" s="4">
        <f>+'Simple Model - Case 1'!X2</f>
        <v>45657</v>
      </c>
    </row>
    <row r="3" spans="2:27" s="6" customFormat="1" x14ac:dyDescent="0.2">
      <c r="B3" s="5" t="s">
        <v>348</v>
      </c>
    </row>
    <row r="4" spans="2:27" x14ac:dyDescent="0.2">
      <c r="B4" s="7" t="s">
        <v>275</v>
      </c>
      <c r="D4" s="234"/>
      <c r="E4" s="234"/>
      <c r="F4" s="234"/>
      <c r="G4" s="234"/>
      <c r="H4" s="234"/>
      <c r="I4" s="234"/>
      <c r="J4" s="234"/>
      <c r="K4" s="234"/>
      <c r="L4" s="234"/>
      <c r="M4" s="234"/>
      <c r="N4" s="234"/>
      <c r="O4" s="234"/>
      <c r="P4" s="234"/>
      <c r="Q4" s="234"/>
      <c r="R4" s="234"/>
      <c r="S4" s="234"/>
      <c r="T4" s="234"/>
      <c r="U4" s="234"/>
      <c r="W4" s="234"/>
      <c r="X4" s="234"/>
    </row>
    <row r="5" spans="2:27" x14ac:dyDescent="0.2">
      <c r="D5" s="232" t="s">
        <v>278</v>
      </c>
      <c r="E5" s="233"/>
      <c r="F5" s="233"/>
      <c r="G5" s="233"/>
      <c r="H5" s="233"/>
      <c r="I5" s="233"/>
      <c r="J5" s="233"/>
      <c r="K5" s="233"/>
      <c r="L5" s="233"/>
      <c r="M5" s="233"/>
      <c r="N5" s="233"/>
      <c r="O5" s="233"/>
      <c r="P5" s="233"/>
      <c r="Q5" s="233"/>
      <c r="R5" s="233"/>
      <c r="S5" s="233"/>
      <c r="T5" s="233"/>
      <c r="U5" s="233"/>
      <c r="W5" s="232" t="s">
        <v>301</v>
      </c>
      <c r="X5" s="233"/>
    </row>
    <row r="6" spans="2:27" ht="13.5" x14ac:dyDescent="0.35">
      <c r="D6" s="9" t="s">
        <v>4</v>
      </c>
      <c r="E6" s="9" t="s">
        <v>5</v>
      </c>
      <c r="F6" s="9" t="s">
        <v>6</v>
      </c>
      <c r="G6" s="9" t="s">
        <v>321</v>
      </c>
      <c r="H6" s="9" t="s">
        <v>306</v>
      </c>
      <c r="I6" s="9" t="s">
        <v>357</v>
      </c>
      <c r="J6" s="9" t="s">
        <v>7</v>
      </c>
      <c r="K6" s="9" t="s">
        <v>8</v>
      </c>
      <c r="L6" s="9" t="s">
        <v>9</v>
      </c>
      <c r="M6" s="9" t="s">
        <v>10</v>
      </c>
      <c r="N6" s="9" t="s">
        <v>11</v>
      </c>
      <c r="O6" s="9" t="s">
        <v>12</v>
      </c>
      <c r="P6" s="9" t="s">
        <v>13</v>
      </c>
      <c r="Q6" s="9" t="s">
        <v>14</v>
      </c>
      <c r="R6" s="9" t="s">
        <v>15</v>
      </c>
      <c r="S6" s="9" t="s">
        <v>325</v>
      </c>
      <c r="T6" s="9" t="s">
        <v>346</v>
      </c>
      <c r="U6" s="9" t="s">
        <v>426</v>
      </c>
      <c r="W6" s="9" t="s">
        <v>7</v>
      </c>
      <c r="X6" s="9" t="s">
        <v>8</v>
      </c>
    </row>
    <row r="7" spans="2:27" x14ac:dyDescent="0.2">
      <c r="D7" s="10"/>
      <c r="E7" s="11"/>
      <c r="F7" s="11"/>
      <c r="G7" s="11"/>
      <c r="H7" s="11"/>
      <c r="I7" s="11"/>
      <c r="J7" s="11">
        <f ca="1">+TODAY()</f>
        <v>45796</v>
      </c>
      <c r="K7" s="11">
        <v>46022</v>
      </c>
      <c r="L7" s="11">
        <v>46387</v>
      </c>
      <c r="M7" s="11">
        <v>46752</v>
      </c>
      <c r="N7" s="11">
        <v>47118</v>
      </c>
      <c r="O7" s="11">
        <v>47483</v>
      </c>
      <c r="P7" s="11">
        <v>47848</v>
      </c>
      <c r="Q7" s="11">
        <v>48213</v>
      </c>
      <c r="R7" s="11">
        <v>48579</v>
      </c>
      <c r="S7" s="11">
        <v>48944</v>
      </c>
      <c r="T7" s="11">
        <v>49309</v>
      </c>
      <c r="U7" s="11">
        <v>49674</v>
      </c>
    </row>
    <row r="8" spans="2:27" s="1" customFormat="1" x14ac:dyDescent="0.2">
      <c r="B8" s="1" t="s">
        <v>16</v>
      </c>
      <c r="C8" s="151"/>
      <c r="D8" s="153">
        <f>+'Historical Financials'!CB9</f>
        <v>55838</v>
      </c>
      <c r="E8" s="153">
        <f>+'Historical Financials'!CC9</f>
        <v>70697</v>
      </c>
      <c r="F8" s="153">
        <f>+'Historical Financials'!CD9</f>
        <v>85966</v>
      </c>
      <c r="G8" s="153">
        <f>+'Historical Financials'!CE9</f>
        <v>117929</v>
      </c>
      <c r="H8" s="153">
        <f>+'Historical Financials'!CF9</f>
        <v>116609</v>
      </c>
      <c r="I8" s="153">
        <f>+'Historical Financials'!CG9</f>
        <v>134901</v>
      </c>
      <c r="J8" s="153">
        <f>+'Historical Financials'!CH9</f>
        <v>162961.48549899654</v>
      </c>
      <c r="K8" s="153">
        <f>+'LT Revenue Forecast'!K124</f>
        <v>178760.14049624701</v>
      </c>
      <c r="L8" s="153">
        <f>+'LT Revenue Forecast'!L124</f>
        <v>195383.62742598628</v>
      </c>
      <c r="M8" s="153">
        <f>+'LT Revenue Forecast'!M124</f>
        <v>212883.76454901064</v>
      </c>
      <c r="N8" s="153">
        <f>+'LT Revenue Forecast'!N124</f>
        <v>231315.42598474212</v>
      </c>
      <c r="O8" s="153">
        <f>+'LT Revenue Forecast'!O124</f>
        <v>250736.72579398044</v>
      </c>
      <c r="P8" s="153">
        <f>+'LT Revenue Forecast'!P124</f>
        <v>271209.2130753196</v>
      </c>
      <c r="Q8" s="153">
        <f>+'LT Revenue Forecast'!Q124</f>
        <v>292798.07873584237</v>
      </c>
      <c r="R8" s="153">
        <f>+'LT Revenue Forecast'!R124</f>
        <v>315572.37463630241</v>
      </c>
      <c r="S8" s="153">
        <f>+'LT Revenue Forecast'!S124</f>
        <v>339605.24585298123</v>
      </c>
      <c r="T8" s="153">
        <f>+'LT Revenue Forecast'!T124</f>
        <v>364974.176842894</v>
      </c>
      <c r="U8" s="153">
        <f>+'LT Revenue Forecast'!U124</f>
        <v>391761.25234618015</v>
      </c>
      <c r="W8" s="248">
        <f>_xll.ciqfunctions.udf.CIQ($B$2, "IQ_REVENUE_EST", "FY2024")</f>
        <v>162991.91159</v>
      </c>
      <c r="X8" s="248">
        <f>_xll.ciqfunctions.udf.CIQ($B$2, "IQ_REVENUE_EST", "FY2025")</f>
        <v>187028.36274000001</v>
      </c>
    </row>
    <row r="9" spans="2:27" s="7" customFormat="1" x14ac:dyDescent="0.2">
      <c r="B9" s="13" t="s">
        <v>17</v>
      </c>
      <c r="C9" s="14"/>
      <c r="D9" s="145"/>
      <c r="E9" s="145">
        <f t="shared" ref="E9:J9" si="0">+E8/D8-1</f>
        <v>0.26610910132884413</v>
      </c>
      <c r="F9" s="145">
        <f t="shared" si="0"/>
        <v>0.21597804715900248</v>
      </c>
      <c r="G9" s="145">
        <f t="shared" si="0"/>
        <v>0.37180978526394148</v>
      </c>
      <c r="H9" s="145">
        <f t="shared" si="0"/>
        <v>-1.1193175554782941E-2</v>
      </c>
      <c r="I9" s="145">
        <f t="shared" si="0"/>
        <v>0.15686610810486323</v>
      </c>
      <c r="J9" s="145">
        <f t="shared" si="0"/>
        <v>0.20800798733142489</v>
      </c>
      <c r="K9" s="145">
        <f t="shared" ref="K9:U9" si="1">+K8/J8-1</f>
        <v>9.6947170976468211E-2</v>
      </c>
      <c r="L9" s="145">
        <f t="shared" si="1"/>
        <v>9.2993252766481627E-2</v>
      </c>
      <c r="M9" s="145">
        <f t="shared" si="1"/>
        <v>8.9568083843942548E-2</v>
      </c>
      <c r="N9" s="145">
        <f t="shared" si="1"/>
        <v>8.6580869493634305E-2</v>
      </c>
      <c r="O9" s="145">
        <f t="shared" si="1"/>
        <v>8.3960244875840528E-2</v>
      </c>
      <c r="P9" s="145">
        <f t="shared" si="1"/>
        <v>8.1649336436500075E-2</v>
      </c>
      <c r="Q9" s="145">
        <f t="shared" si="1"/>
        <v>7.9602257665661202E-2</v>
      </c>
      <c r="R9" s="145">
        <f t="shared" si="1"/>
        <v>7.7781575612750675E-2</v>
      </c>
      <c r="S9" s="145">
        <f t="shared" si="1"/>
        <v>7.6156448245435771E-2</v>
      </c>
      <c r="T9" s="145">
        <f t="shared" si="1"/>
        <v>7.4701234152593887E-2</v>
      </c>
      <c r="U9" s="145">
        <f t="shared" si="1"/>
        <v>7.3394440491654001E-2</v>
      </c>
      <c r="V9" s="146"/>
      <c r="W9" s="145">
        <f>+W8/I8-1</f>
        <v>0.20823353118212617</v>
      </c>
      <c r="X9" s="145">
        <f>+X8/W8-1</f>
        <v>0.14747020827918633</v>
      </c>
    </row>
    <row r="10" spans="2:27" s="7" customFormat="1" x14ac:dyDescent="0.2">
      <c r="B10" s="13" t="s">
        <v>18</v>
      </c>
      <c r="C10" s="14"/>
      <c r="D10" s="145"/>
      <c r="E10" s="238">
        <f>+'Historical Financials'!CC11</f>
        <v>0.29599914037035702</v>
      </c>
      <c r="F10" s="238">
        <f>+'Historical Financials'!CD11</f>
        <v>0.21766128690043418</v>
      </c>
      <c r="G10" s="238">
        <f>+'Historical Financials'!CE11</f>
        <v>0.35273247562990018</v>
      </c>
      <c r="H10" s="238">
        <f>+'Historical Financials'!CF11</f>
        <v>3.9320268975400419E-2</v>
      </c>
      <c r="I10" s="238">
        <f>+'Historical Financials'!CG11</f>
        <v>0.15366738416417247</v>
      </c>
      <c r="J10" s="238">
        <f>+'Historical Financials'!CH11</f>
        <v>0.21759645962594809</v>
      </c>
      <c r="K10" s="145">
        <f>+K9</f>
        <v>9.6947170976468211E-2</v>
      </c>
      <c r="L10" s="145">
        <f t="shared" ref="L10:U10" si="2">+L9</f>
        <v>9.2993252766481627E-2</v>
      </c>
      <c r="M10" s="145">
        <f t="shared" si="2"/>
        <v>8.9568083843942548E-2</v>
      </c>
      <c r="N10" s="145">
        <f t="shared" si="2"/>
        <v>8.6580869493634305E-2</v>
      </c>
      <c r="O10" s="145">
        <f t="shared" si="2"/>
        <v>8.3960244875840528E-2</v>
      </c>
      <c r="P10" s="145">
        <f t="shared" si="2"/>
        <v>8.1649336436500075E-2</v>
      </c>
      <c r="Q10" s="145">
        <f t="shared" si="2"/>
        <v>7.9602257665661202E-2</v>
      </c>
      <c r="R10" s="145">
        <f t="shared" si="2"/>
        <v>7.7781575612750675E-2</v>
      </c>
      <c r="S10" s="145">
        <f t="shared" si="2"/>
        <v>7.6156448245435771E-2</v>
      </c>
      <c r="T10" s="145">
        <f t="shared" si="2"/>
        <v>7.4701234152593887E-2</v>
      </c>
      <c r="U10" s="145">
        <f t="shared" si="2"/>
        <v>7.3394440491654001E-2</v>
      </c>
      <c r="V10" s="146"/>
      <c r="W10" s="146"/>
      <c r="X10" s="146"/>
    </row>
    <row r="11" spans="2:27" s="7" customFormat="1" x14ac:dyDescent="0.2">
      <c r="B11" s="18"/>
      <c r="C11" s="14"/>
      <c r="D11" s="19"/>
      <c r="E11" s="19"/>
      <c r="F11" s="19"/>
      <c r="G11" s="19"/>
      <c r="H11" s="19"/>
      <c r="I11" s="19"/>
      <c r="J11" s="19"/>
      <c r="K11" s="19"/>
      <c r="L11" s="19"/>
      <c r="M11" s="19"/>
      <c r="N11" s="19"/>
      <c r="V11" s="20"/>
      <c r="W11" s="20"/>
      <c r="X11" s="20"/>
    </row>
    <row r="12" spans="2:27" s="7" customFormat="1" x14ac:dyDescent="0.2">
      <c r="B12" s="23" t="s">
        <v>351</v>
      </c>
      <c r="C12" s="14"/>
      <c r="D12" s="12">
        <f t="shared" ref="D12:U12" si="3">+D8-D16</f>
        <v>30925</v>
      </c>
      <c r="E12" s="12">
        <f t="shared" si="3"/>
        <v>41161</v>
      </c>
      <c r="F12" s="12">
        <f t="shared" si="3"/>
        <v>53295</v>
      </c>
      <c r="G12" s="12">
        <f t="shared" si="3"/>
        <v>71176</v>
      </c>
      <c r="H12" s="12">
        <f t="shared" si="3"/>
        <v>83053</v>
      </c>
      <c r="I12" s="12">
        <f t="shared" si="3"/>
        <v>82828</v>
      </c>
      <c r="J12" s="12">
        <f t="shared" si="3"/>
        <v>95002.006410367132</v>
      </c>
      <c r="K12" s="12">
        <f t="shared" si="3"/>
        <v>100901.33390899237</v>
      </c>
      <c r="L12" s="12">
        <f t="shared" si="3"/>
        <v>107213.077373862</v>
      </c>
      <c r="M12" s="12">
        <f t="shared" si="3"/>
        <v>113963.14593537418</v>
      </c>
      <c r="N12" s="12">
        <f t="shared" si="3"/>
        <v>121178.97665323992</v>
      </c>
      <c r="O12" s="12">
        <f t="shared" si="3"/>
        <v>128889.62655785908</v>
      </c>
      <c r="P12" s="12">
        <f t="shared" si="3"/>
        <v>137125.87019852866</v>
      </c>
      <c r="Q12" s="12">
        <f t="shared" si="3"/>
        <v>145920.30302879005</v>
      </c>
      <c r="R12" s="12">
        <f t="shared" si="3"/>
        <v>155307.45097902007</v>
      </c>
      <c r="S12" s="12">
        <f t="shared" si="3"/>
        <v>165323.88658735948</v>
      </c>
      <c r="T12" s="12">
        <f t="shared" si="3"/>
        <v>178008.35208231586</v>
      </c>
      <c r="U12" s="12">
        <f t="shared" si="3"/>
        <v>191401.88983395894</v>
      </c>
      <c r="W12" s="12">
        <f>+W8-W16</f>
        <v>97144.857790000009</v>
      </c>
      <c r="X12" s="12">
        <f>+X8-X16</f>
        <v>113661.91990000001</v>
      </c>
    </row>
    <row r="13" spans="2:27" s="7" customFormat="1" x14ac:dyDescent="0.2">
      <c r="B13" s="13" t="s">
        <v>17</v>
      </c>
      <c r="C13" s="14"/>
      <c r="D13" s="15"/>
      <c r="E13" s="145">
        <f t="shared" ref="E13:U13" si="4">+E12/D12-1</f>
        <v>0.33099434114793858</v>
      </c>
      <c r="F13" s="145">
        <f t="shared" si="4"/>
        <v>0.29479361531546844</v>
      </c>
      <c r="G13" s="145">
        <f t="shared" si="4"/>
        <v>0.33550989773899986</v>
      </c>
      <c r="H13" s="145">
        <f t="shared" si="4"/>
        <v>0.1668680454085647</v>
      </c>
      <c r="I13" s="145">
        <f t="shared" si="4"/>
        <v>-2.7091134576715525E-3</v>
      </c>
      <c r="J13" s="145">
        <f t="shared" si="4"/>
        <v>0.14697935976200238</v>
      </c>
      <c r="K13" s="145">
        <f t="shared" si="4"/>
        <v>6.2096872703327088E-2</v>
      </c>
      <c r="L13" s="145">
        <f t="shared" si="4"/>
        <v>6.2553617681234019E-2</v>
      </c>
      <c r="M13" s="145">
        <f t="shared" si="4"/>
        <v>6.2959377035453068E-2</v>
      </c>
      <c r="N13" s="145">
        <f t="shared" si="4"/>
        <v>6.3317229957460697E-2</v>
      </c>
      <c r="O13" s="145">
        <f t="shared" si="4"/>
        <v>6.3630260937783012E-2</v>
      </c>
      <c r="P13" s="145">
        <f t="shared" si="4"/>
        <v>6.3901524588344527E-2</v>
      </c>
      <c r="Q13" s="145">
        <f t="shared" si="4"/>
        <v>6.4134016561053997E-2</v>
      </c>
      <c r="R13" s="145">
        <f t="shared" si="4"/>
        <v>6.4330650056133365E-2</v>
      </c>
      <c r="S13" s="145">
        <f t="shared" si="4"/>
        <v>6.4494237367223928E-2</v>
      </c>
      <c r="T13" s="145">
        <f t="shared" si="4"/>
        <v>7.672494130637153E-2</v>
      </c>
      <c r="U13" s="145">
        <f t="shared" si="4"/>
        <v>7.5241063663403551E-2</v>
      </c>
      <c r="W13" s="145">
        <f>+W12/I12-1</f>
        <v>0.17285045866132243</v>
      </c>
      <c r="X13" s="145">
        <f>+X12/W12-1</f>
        <v>0.17002507889512031</v>
      </c>
    </row>
    <row r="14" spans="2:27" s="7" customFormat="1" x14ac:dyDescent="0.2">
      <c r="B14" s="13" t="s">
        <v>20</v>
      </c>
      <c r="C14" s="14"/>
      <c r="D14" s="15">
        <f t="shared" ref="D14:T14" si="5">+D12/D8</f>
        <v>0.55383430638633191</v>
      </c>
      <c r="E14" s="15">
        <f t="shared" si="5"/>
        <v>0.58221706720228583</v>
      </c>
      <c r="F14" s="15">
        <f t="shared" si="5"/>
        <v>0.61995440057697226</v>
      </c>
      <c r="G14" s="15">
        <f t="shared" si="5"/>
        <v>0.60354959339941827</v>
      </c>
      <c r="H14" s="15">
        <f t="shared" si="5"/>
        <v>0.71223490468145678</v>
      </c>
      <c r="I14" s="15">
        <f t="shared" si="5"/>
        <v>0.61399100080799995</v>
      </c>
      <c r="J14" s="15">
        <f>+J12/J8</f>
        <v>0.58297214289294219</v>
      </c>
      <c r="K14" s="15">
        <f t="shared" si="5"/>
        <v>0.56445096557255581</v>
      </c>
      <c r="L14" s="15">
        <f t="shared" si="5"/>
        <v>0.548731123412455</v>
      </c>
      <c r="M14" s="15">
        <f t="shared" si="5"/>
        <v>0.5353303770102078</v>
      </c>
      <c r="N14" s="15">
        <f t="shared" si="5"/>
        <v>0.52386898166157347</v>
      </c>
      <c r="O14" s="15">
        <f t="shared" si="5"/>
        <v>0.51404366930978485</v>
      </c>
      <c r="P14" s="15">
        <f t="shared" si="5"/>
        <v>0.50560918872784155</v>
      </c>
      <c r="Q14" s="15">
        <f t="shared" si="5"/>
        <v>0.49836496079073306</v>
      </c>
      <c r="R14" s="15">
        <f t="shared" si="5"/>
        <v>0.49214526828595856</v>
      </c>
      <c r="S14" s="15">
        <f t="shared" si="5"/>
        <v>0.48681193416820767</v>
      </c>
      <c r="T14" s="15">
        <f t="shared" si="5"/>
        <v>0.48772862130172284</v>
      </c>
      <c r="U14" s="15">
        <f>+U12/U8</f>
        <v>0.48856768934572042</v>
      </c>
      <c r="W14" s="15">
        <f>+W12/W8</f>
        <v>0.59601029794879778</v>
      </c>
      <c r="X14" s="15">
        <f>+X12/X8</f>
        <v>0.60772557827503759</v>
      </c>
    </row>
    <row r="15" spans="2:27" s="7" customFormat="1" x14ac:dyDescent="0.2">
      <c r="B15" s="13"/>
      <c r="C15" s="14"/>
      <c r="D15" s="19"/>
      <c r="E15" s="19"/>
      <c r="F15" s="19"/>
      <c r="G15" s="19"/>
      <c r="H15" s="19"/>
      <c r="I15" s="19"/>
      <c r="J15" s="19"/>
      <c r="K15" s="19"/>
      <c r="L15" s="19"/>
      <c r="M15" s="19"/>
      <c r="N15" s="19"/>
    </row>
    <row r="16" spans="2:27" s="152" customFormat="1" x14ac:dyDescent="0.2">
      <c r="B16" s="1" t="s">
        <v>289</v>
      </c>
      <c r="C16" s="150"/>
      <c r="D16" s="153">
        <f>+'Historical Financials'!CB52</f>
        <v>24913</v>
      </c>
      <c r="E16" s="153">
        <f>+'Historical Financials'!CC52</f>
        <v>29536</v>
      </c>
      <c r="F16" s="153">
        <f>+'Historical Financials'!CD52</f>
        <v>32671</v>
      </c>
      <c r="G16" s="153">
        <f>+'Historical Financials'!CE52</f>
        <v>46753</v>
      </c>
      <c r="H16" s="153">
        <f>+'Historical Financials'!CF52</f>
        <v>33556</v>
      </c>
      <c r="I16" s="153">
        <f>+'Historical Financials'!CG52</f>
        <v>52073</v>
      </c>
      <c r="J16" s="153">
        <f>+'Historical Financials'!CH52</f>
        <v>67959.479088629407</v>
      </c>
      <c r="K16" s="151">
        <f t="shared" ref="K16:T16" si="6">+K24-K23</f>
        <v>77858.806587254643</v>
      </c>
      <c r="L16" s="151">
        <f t="shared" si="6"/>
        <v>88170.550052124279</v>
      </c>
      <c r="M16" s="151">
        <f t="shared" si="6"/>
        <v>98920.618613636456</v>
      </c>
      <c r="N16" s="151">
        <f t="shared" si="6"/>
        <v>110136.4493315022</v>
      </c>
      <c r="O16" s="151">
        <f t="shared" si="6"/>
        <v>121847.09923612136</v>
      </c>
      <c r="P16" s="151">
        <f t="shared" si="6"/>
        <v>134083.34287679094</v>
      </c>
      <c r="Q16" s="151">
        <f t="shared" si="6"/>
        <v>146877.77570705232</v>
      </c>
      <c r="R16" s="151">
        <f t="shared" si="6"/>
        <v>160264.92365728234</v>
      </c>
      <c r="S16" s="151">
        <f t="shared" si="6"/>
        <v>174281.35926562175</v>
      </c>
      <c r="T16" s="151">
        <f t="shared" si="6"/>
        <v>186965.82476057814</v>
      </c>
      <c r="U16" s="151">
        <f>+U24-U23</f>
        <v>200359.36251222121</v>
      </c>
      <c r="W16" s="248">
        <f>_xll.ciqfunctions.udf.CIQ($B$2, "IQ_EBIT_EST", "FY2024")</f>
        <v>65847.053799999994</v>
      </c>
      <c r="X16" s="248">
        <f>_xll.ciqfunctions.udf.CIQ($B$2, "IQ_EBIT_EST", "FY2025")</f>
        <v>73366.442840000003</v>
      </c>
      <c r="AA16" s="150"/>
    </row>
    <row r="17" spans="2:26" s="7" customFormat="1" x14ac:dyDescent="0.2">
      <c r="B17" s="13" t="s">
        <v>17</v>
      </c>
      <c r="C17" s="14"/>
      <c r="D17" s="15"/>
      <c r="E17" s="145">
        <f t="shared" ref="E17:U17" si="7">+E16/D16-1</f>
        <v>0.18556576887568732</v>
      </c>
      <c r="F17" s="145">
        <f t="shared" si="7"/>
        <v>0.10614165763813643</v>
      </c>
      <c r="G17" s="145">
        <f t="shared" si="7"/>
        <v>0.43102445593951821</v>
      </c>
      <c r="H17" s="145">
        <f t="shared" si="7"/>
        <v>-0.28227065642846449</v>
      </c>
      <c r="I17" s="145">
        <f t="shared" si="7"/>
        <v>0.55182381690308735</v>
      </c>
      <c r="J17" s="145">
        <f t="shared" si="7"/>
        <v>0.30508092655751362</v>
      </c>
      <c r="K17" s="145">
        <f t="shared" si="7"/>
        <v>0.14566514681071974</v>
      </c>
      <c r="L17" s="145">
        <f t="shared" si="7"/>
        <v>0.13244158132983319</v>
      </c>
      <c r="M17" s="145">
        <f t="shared" si="7"/>
        <v>0.1219235737460751</v>
      </c>
      <c r="N17" s="145">
        <f t="shared" si="7"/>
        <v>0.11338213281573251</v>
      </c>
      <c r="O17" s="145">
        <f t="shared" si="7"/>
        <v>0.10632855858073853</v>
      </c>
      <c r="P17" s="145">
        <f t="shared" si="7"/>
        <v>0.10042293757816578</v>
      </c>
      <c r="Q17" s="145">
        <f t="shared" si="7"/>
        <v>9.5421493496162135E-2</v>
      </c>
      <c r="R17" s="145">
        <f t="shared" si="7"/>
        <v>9.1144816741578927E-2</v>
      </c>
      <c r="S17" s="145">
        <f t="shared" si="7"/>
        <v>8.7457912115022518E-2</v>
      </c>
      <c r="T17" s="145">
        <f t="shared" si="7"/>
        <v>7.2781538705031679E-2</v>
      </c>
      <c r="U17" s="145">
        <f t="shared" si="7"/>
        <v>7.1636288443593266E-2</v>
      </c>
      <c r="V17" s="145"/>
      <c r="W17" s="145">
        <f>+W16/I16-1</f>
        <v>0.26451431259961966</v>
      </c>
      <c r="X17" s="145">
        <f>+X16/W16-1</f>
        <v>0.11419476811884355</v>
      </c>
    </row>
    <row r="18" spans="2:26" s="7" customFormat="1" x14ac:dyDescent="0.2">
      <c r="B18" s="13" t="s">
        <v>18</v>
      </c>
      <c r="C18" s="14"/>
      <c r="D18" s="15"/>
      <c r="E18" s="145">
        <f>(1+E10)/(1+E9)*(1+E17)-1</f>
        <v>0.21355435775857501</v>
      </c>
      <c r="F18" s="145">
        <f t="shared" ref="F18:U18" si="8">(1+F10)/(1+F9)*(1+F17)-1</f>
        <v>0.10767285435845531</v>
      </c>
      <c r="G18" s="145">
        <f t="shared" si="8"/>
        <v>0.4111236672637828</v>
      </c>
      <c r="H18" s="145">
        <f t="shared" si="8"/>
        <v>-0.24560527297044987</v>
      </c>
      <c r="I18" s="145">
        <f t="shared" si="8"/>
        <v>0.54753303860118541</v>
      </c>
      <c r="J18" s="291">
        <f t="shared" si="8"/>
        <v>0.31543990798614741</v>
      </c>
      <c r="K18" s="291">
        <f t="shared" si="8"/>
        <v>0.14566514681071974</v>
      </c>
      <c r="L18" s="145">
        <f t="shared" si="8"/>
        <v>0.13244158132983319</v>
      </c>
      <c r="M18" s="145">
        <f t="shared" si="8"/>
        <v>0.1219235737460751</v>
      </c>
      <c r="N18" s="145">
        <f t="shared" si="8"/>
        <v>0.11338213281573251</v>
      </c>
      <c r="O18" s="145">
        <f t="shared" si="8"/>
        <v>0.10632855858073853</v>
      </c>
      <c r="P18" s="145">
        <f t="shared" si="8"/>
        <v>0.10042293757816578</v>
      </c>
      <c r="Q18" s="145">
        <f t="shared" si="8"/>
        <v>9.5421493496162135E-2</v>
      </c>
      <c r="R18" s="145">
        <f t="shared" si="8"/>
        <v>9.1144816741578927E-2</v>
      </c>
      <c r="S18" s="145">
        <f t="shared" si="8"/>
        <v>8.7457912115022518E-2</v>
      </c>
      <c r="T18" s="145">
        <f t="shared" si="8"/>
        <v>7.2781538705031679E-2</v>
      </c>
      <c r="U18" s="145">
        <f t="shared" si="8"/>
        <v>7.1636288443593266E-2</v>
      </c>
      <c r="V18" s="145"/>
      <c r="W18" s="145"/>
      <c r="X18" s="145"/>
    </row>
    <row r="19" spans="2:26" s="7" customFormat="1" x14ac:dyDescent="0.2">
      <c r="B19" s="13" t="s">
        <v>21</v>
      </c>
      <c r="C19" s="14"/>
      <c r="D19" s="147">
        <f t="shared" ref="D19:U19" si="9">+D16/D8</f>
        <v>0.44616569361366809</v>
      </c>
      <c r="E19" s="147">
        <f t="shared" si="9"/>
        <v>0.41778293279771417</v>
      </c>
      <c r="F19" s="147">
        <f t="shared" si="9"/>
        <v>0.38004559942302774</v>
      </c>
      <c r="G19" s="147">
        <f t="shared" si="9"/>
        <v>0.39645040660058173</v>
      </c>
      <c r="H19" s="147">
        <f t="shared" si="9"/>
        <v>0.28776509531854316</v>
      </c>
      <c r="I19" s="147">
        <f t="shared" si="9"/>
        <v>0.38600899919200005</v>
      </c>
      <c r="J19" s="147">
        <f t="shared" si="9"/>
        <v>0.41702785710705786</v>
      </c>
      <c r="K19" s="147">
        <f t="shared" si="9"/>
        <v>0.43554903442744414</v>
      </c>
      <c r="L19" s="147">
        <f t="shared" si="9"/>
        <v>0.451268876587545</v>
      </c>
      <c r="M19" s="147">
        <f t="shared" si="9"/>
        <v>0.46466962298979214</v>
      </c>
      <c r="N19" s="147">
        <f t="shared" si="9"/>
        <v>0.47613101833842653</v>
      </c>
      <c r="O19" s="147">
        <f t="shared" si="9"/>
        <v>0.48595633069021515</v>
      </c>
      <c r="P19" s="147">
        <f t="shared" si="9"/>
        <v>0.49439081127215845</v>
      </c>
      <c r="Q19" s="147">
        <f t="shared" si="9"/>
        <v>0.501635039209267</v>
      </c>
      <c r="R19" s="147">
        <f t="shared" si="9"/>
        <v>0.5078547317140415</v>
      </c>
      <c r="S19" s="147">
        <f t="shared" si="9"/>
        <v>0.51318806583179233</v>
      </c>
      <c r="T19" s="147">
        <f t="shared" si="9"/>
        <v>0.51227137869827721</v>
      </c>
      <c r="U19" s="147">
        <f t="shared" si="9"/>
        <v>0.51143231065427952</v>
      </c>
      <c r="W19" s="147">
        <f>+W16/W8</f>
        <v>0.40398970205120222</v>
      </c>
      <c r="X19" s="147">
        <f>+X16/X8</f>
        <v>0.39227442172496235</v>
      </c>
    </row>
    <row r="20" spans="2:26" s="7" customFormat="1" x14ac:dyDescent="0.2">
      <c r="B20" s="13" t="s">
        <v>22</v>
      </c>
      <c r="C20" s="14"/>
      <c r="D20" s="15"/>
      <c r="E20" s="147">
        <f t="shared" ref="E20:U20" si="10">+(E16-D16)/(E8-D8)</f>
        <v>0.31112457096709067</v>
      </c>
      <c r="F20" s="147">
        <f t="shared" si="10"/>
        <v>0.20531796450324186</v>
      </c>
      <c r="G20" s="147">
        <f t="shared" si="10"/>
        <v>0.44057191127240874</v>
      </c>
      <c r="H20" s="147">
        <f t="shared" si="10"/>
        <v>9.997727272727273</v>
      </c>
      <c r="I20" s="147">
        <f t="shared" si="10"/>
        <v>1.0123004592171441</v>
      </c>
      <c r="J20" s="147">
        <f t="shared" si="10"/>
        <v>0.56615125526596888</v>
      </c>
      <c r="K20" s="147">
        <f t="shared" si="10"/>
        <v>0.62659305493714945</v>
      </c>
      <c r="L20" s="147">
        <f t="shared" si="10"/>
        <v>0.62031170165761174</v>
      </c>
      <c r="M20" s="147">
        <f t="shared" si="10"/>
        <v>0.61428481879542907</v>
      </c>
      <c r="N20" s="147">
        <f t="shared" si="10"/>
        <v>0.60850893756776669</v>
      </c>
      <c r="O20" s="147">
        <f t="shared" si="10"/>
        <v>0.60297971915600834</v>
      </c>
      <c r="P20" s="147">
        <f t="shared" si="10"/>
        <v>0.59769208658016937</v>
      </c>
      <c r="Q20" s="147">
        <f t="shared" si="10"/>
        <v>0.59264034671618637</v>
      </c>
      <c r="R20" s="147">
        <f t="shared" si="10"/>
        <v>0.58781830220971176</v>
      </c>
      <c r="S20" s="147">
        <f t="shared" si="10"/>
        <v>0.58321935327527574</v>
      </c>
      <c r="T20" s="147">
        <f t="shared" si="10"/>
        <v>0.5</v>
      </c>
      <c r="U20" s="147">
        <f t="shared" si="10"/>
        <v>0.5</v>
      </c>
      <c r="W20" s="147">
        <f>+(W16-F16)/(W8-F8)</f>
        <v>0.43071290057029488</v>
      </c>
      <c r="X20" s="147">
        <f>+(X16-W16)/(X8-W8)</f>
        <v>0.31283274694234581</v>
      </c>
    </row>
    <row r="21" spans="2:26" s="7" customFormat="1" x14ac:dyDescent="0.2">
      <c r="B21" s="18"/>
      <c r="C21" s="14"/>
      <c r="D21" s="19"/>
      <c r="E21" s="19"/>
      <c r="F21" s="19"/>
      <c r="G21" s="19"/>
      <c r="H21" s="19"/>
      <c r="I21" s="19"/>
      <c r="J21" s="19"/>
      <c r="K21" s="19"/>
      <c r="L21" s="19"/>
      <c r="M21" s="19"/>
      <c r="N21" s="19"/>
    </row>
    <row r="22" spans="2:26" s="7" customFormat="1" x14ac:dyDescent="0.2">
      <c r="B22" s="21" t="s">
        <v>19</v>
      </c>
      <c r="C22" s="14"/>
      <c r="D22" s="19"/>
      <c r="E22" s="19"/>
      <c r="F22" s="19"/>
      <c r="G22" s="19"/>
      <c r="H22" s="19"/>
      <c r="I22" s="19"/>
      <c r="J22" s="19"/>
      <c r="K22" s="19"/>
      <c r="L22" s="19"/>
      <c r="M22" s="19"/>
      <c r="N22" s="19"/>
    </row>
    <row r="23" spans="2:26" s="7" customFormat="1" ht="13.5" x14ac:dyDescent="0.35">
      <c r="B23" s="13" t="s">
        <v>312</v>
      </c>
      <c r="C23" s="14"/>
      <c r="D23" s="19"/>
      <c r="E23" s="19"/>
      <c r="F23" s="19"/>
      <c r="G23" s="173">
        <f>-'Historical Financials'!CE210</f>
        <v>10193</v>
      </c>
      <c r="H23" s="173">
        <f>-'Historical Financials'!CF210</f>
        <v>13202</v>
      </c>
      <c r="I23" s="173">
        <f>-'Historical Financials'!CG210</f>
        <v>15507</v>
      </c>
      <c r="J23" s="167">
        <v>18000</v>
      </c>
      <c r="K23" s="167">
        <f>+J23-2000</f>
        <v>16000</v>
      </c>
      <c r="L23" s="167">
        <f t="shared" ref="L23:S23" si="11">+K23-2000</f>
        <v>14000</v>
      </c>
      <c r="M23" s="167">
        <f t="shared" si="11"/>
        <v>12000</v>
      </c>
      <c r="N23" s="167">
        <f t="shared" si="11"/>
        <v>10000</v>
      </c>
      <c r="O23" s="167">
        <f t="shared" si="11"/>
        <v>8000</v>
      </c>
      <c r="P23" s="167">
        <f t="shared" si="11"/>
        <v>6000</v>
      </c>
      <c r="Q23" s="167">
        <f t="shared" si="11"/>
        <v>4000</v>
      </c>
      <c r="R23" s="167">
        <f t="shared" si="11"/>
        <v>2000</v>
      </c>
      <c r="S23" s="167">
        <f t="shared" si="11"/>
        <v>0</v>
      </c>
      <c r="T23" s="167">
        <f>S23</f>
        <v>0</v>
      </c>
      <c r="U23" s="167">
        <f>T23</f>
        <v>0</v>
      </c>
    </row>
    <row r="24" spans="2:26" s="7" customFormat="1" x14ac:dyDescent="0.2">
      <c r="B24" s="16" t="s">
        <v>307</v>
      </c>
      <c r="C24" s="14"/>
      <c r="D24" s="19"/>
      <c r="E24" s="19"/>
      <c r="F24" s="19"/>
      <c r="G24" s="14">
        <f>+G16+G23</f>
        <v>56946</v>
      </c>
      <c r="H24" s="14">
        <f>+H16+H23</f>
        <v>46758</v>
      </c>
      <c r="I24" s="14">
        <f>+I16+I23</f>
        <v>67580</v>
      </c>
      <c r="J24" s="14">
        <f>+J16+J23</f>
        <v>85959.479088629407</v>
      </c>
      <c r="K24" s="14">
        <f t="shared" ref="K24:U24" si="12">+(K8-J8)*K27+J24</f>
        <v>93858.806587254643</v>
      </c>
      <c r="L24" s="14">
        <f t="shared" si="12"/>
        <v>102170.55005212428</v>
      </c>
      <c r="M24" s="14">
        <f t="shared" si="12"/>
        <v>110920.61861363646</v>
      </c>
      <c r="N24" s="14">
        <f t="shared" si="12"/>
        <v>120136.4493315022</v>
      </c>
      <c r="O24" s="14">
        <f t="shared" si="12"/>
        <v>129847.09923612136</v>
      </c>
      <c r="P24" s="14">
        <f t="shared" si="12"/>
        <v>140083.34287679094</v>
      </c>
      <c r="Q24" s="14">
        <f t="shared" si="12"/>
        <v>150877.77570705232</v>
      </c>
      <c r="R24" s="14">
        <f t="shared" si="12"/>
        <v>162264.92365728234</v>
      </c>
      <c r="S24" s="14">
        <f t="shared" si="12"/>
        <v>174281.35926562175</v>
      </c>
      <c r="T24" s="14">
        <f t="shared" si="12"/>
        <v>186965.82476057814</v>
      </c>
      <c r="U24" s="14">
        <f t="shared" si="12"/>
        <v>200359.36251222121</v>
      </c>
    </row>
    <row r="25" spans="2:26" s="7" customFormat="1" x14ac:dyDescent="0.2">
      <c r="B25" s="18" t="s">
        <v>17</v>
      </c>
      <c r="C25" s="14"/>
      <c r="D25" s="19"/>
      <c r="E25" s="19"/>
      <c r="F25" s="19"/>
      <c r="G25" s="19"/>
      <c r="H25" s="145">
        <f t="shared" ref="H25:U25" si="13">+H24/G24-1</f>
        <v>-0.17890633231482456</v>
      </c>
      <c r="I25" s="145">
        <f t="shared" si="13"/>
        <v>0.44531417083707603</v>
      </c>
      <c r="J25" s="145">
        <f t="shared" si="13"/>
        <v>0.2719662487219503</v>
      </c>
      <c r="K25" s="145">
        <f t="shared" si="13"/>
        <v>9.1895944256253026E-2</v>
      </c>
      <c r="L25" s="145">
        <f t="shared" si="13"/>
        <v>8.8555818756791194E-2</v>
      </c>
      <c r="M25" s="145">
        <f t="shared" si="13"/>
        <v>8.5641787746548959E-2</v>
      </c>
      <c r="N25" s="145">
        <f t="shared" si="13"/>
        <v>8.308491994591849E-2</v>
      </c>
      <c r="O25" s="145">
        <f t="shared" si="13"/>
        <v>8.0830172346976648E-2</v>
      </c>
      <c r="P25" s="145">
        <f t="shared" si="13"/>
        <v>7.8833055962655108E-2</v>
      </c>
      <c r="Q25" s="145">
        <f t="shared" si="13"/>
        <v>7.7057218999660337E-2</v>
      </c>
      <c r="R25" s="145">
        <f t="shared" si="13"/>
        <v>7.5472665850665477E-2</v>
      </c>
      <c r="S25" s="145">
        <f t="shared" si="13"/>
        <v>7.4054424933629903E-2</v>
      </c>
      <c r="T25" s="145">
        <f t="shared" si="13"/>
        <v>7.2781538705031679E-2</v>
      </c>
      <c r="U25" s="145">
        <f t="shared" si="13"/>
        <v>7.1636288443593266E-2</v>
      </c>
    </row>
    <row r="26" spans="2:26" s="7" customFormat="1" x14ac:dyDescent="0.2">
      <c r="B26" s="18" t="s">
        <v>21</v>
      </c>
      <c r="C26" s="14"/>
      <c r="D26" s="19"/>
      <c r="E26" s="19"/>
      <c r="F26" s="19"/>
      <c r="G26" s="19">
        <f t="shared" ref="G26:U26" si="14">+G24/G8</f>
        <v>0.48288376904747771</v>
      </c>
      <c r="H26" s="19">
        <f t="shared" si="14"/>
        <v>0.40098105635071052</v>
      </c>
      <c r="I26" s="19">
        <f t="shared" si="14"/>
        <v>0.5009599632322963</v>
      </c>
      <c r="J26" s="19">
        <f t="shared" si="14"/>
        <v>0.52748340397988525</v>
      </c>
      <c r="K26" s="19">
        <f t="shared" si="14"/>
        <v>0.52505444629153875</v>
      </c>
      <c r="L26" s="19">
        <f t="shared" si="14"/>
        <v>0.52292278221125632</v>
      </c>
      <c r="M26" s="19">
        <f t="shared" si="14"/>
        <v>0.52103841196447853</v>
      </c>
      <c r="N26" s="19">
        <f t="shared" si="14"/>
        <v>0.51936203052634522</v>
      </c>
      <c r="O26" s="19">
        <f t="shared" si="14"/>
        <v>0.51786230686768686</v>
      </c>
      <c r="P26" s="19">
        <f t="shared" si="14"/>
        <v>0.51651395352077256</v>
      </c>
      <c r="Q26" s="19">
        <f t="shared" si="14"/>
        <v>0.51529633103628314</v>
      </c>
      <c r="R26" s="19">
        <f t="shared" si="14"/>
        <v>0.51419242208476867</v>
      </c>
      <c r="S26" s="19">
        <f t="shared" si="14"/>
        <v>0.51318806583179233</v>
      </c>
      <c r="T26" s="19">
        <f t="shared" si="14"/>
        <v>0.51227137869827721</v>
      </c>
      <c r="U26" s="19">
        <f t="shared" si="14"/>
        <v>0.51143231065427952</v>
      </c>
      <c r="V26" s="19"/>
    </row>
    <row r="27" spans="2:26" s="7" customFormat="1" x14ac:dyDescent="0.2">
      <c r="B27" s="18" t="s">
        <v>22</v>
      </c>
      <c r="C27" s="14"/>
      <c r="D27" s="19"/>
      <c r="E27" s="19"/>
      <c r="F27" s="19"/>
      <c r="G27" s="19"/>
      <c r="H27" s="19">
        <f>+(H24-G24)/(H8-G8)</f>
        <v>7.7181818181818178</v>
      </c>
      <c r="I27" s="19">
        <f>+(I24-H24)/(I8-H8)</f>
        <v>1.1383118303083315</v>
      </c>
      <c r="J27" s="19">
        <f>+(J24-I24)/(J8-I8)</f>
        <v>0.65499504950784504</v>
      </c>
      <c r="K27" s="148">
        <v>0.5</v>
      </c>
      <c r="L27" s="147">
        <f t="shared" ref="L27:U27" si="15">+K27</f>
        <v>0.5</v>
      </c>
      <c r="M27" s="147">
        <f t="shared" si="15"/>
        <v>0.5</v>
      </c>
      <c r="N27" s="147">
        <f t="shared" si="15"/>
        <v>0.5</v>
      </c>
      <c r="O27" s="147">
        <f t="shared" si="15"/>
        <v>0.5</v>
      </c>
      <c r="P27" s="147">
        <f t="shared" si="15"/>
        <v>0.5</v>
      </c>
      <c r="Q27" s="147">
        <f t="shared" si="15"/>
        <v>0.5</v>
      </c>
      <c r="R27" s="147">
        <f t="shared" si="15"/>
        <v>0.5</v>
      </c>
      <c r="S27" s="147">
        <f t="shared" si="15"/>
        <v>0.5</v>
      </c>
      <c r="T27" s="147">
        <f t="shared" si="15"/>
        <v>0.5</v>
      </c>
      <c r="U27" s="147">
        <f t="shared" si="15"/>
        <v>0.5</v>
      </c>
      <c r="V27" s="19"/>
    </row>
    <row r="28" spans="2:26" s="7" customFormat="1" x14ac:dyDescent="0.2">
      <c r="B28" s="18"/>
      <c r="C28" s="14"/>
      <c r="D28" s="19"/>
      <c r="E28" s="19"/>
      <c r="F28" s="19"/>
      <c r="G28" s="19"/>
      <c r="H28" s="19"/>
      <c r="I28" s="19"/>
      <c r="J28" s="19"/>
      <c r="K28" s="19"/>
      <c r="L28" s="19"/>
      <c r="M28" s="19"/>
      <c r="N28" s="19"/>
    </row>
    <row r="29" spans="2:26" ht="13.5" x14ac:dyDescent="0.35">
      <c r="B29" s="23" t="s">
        <v>527</v>
      </c>
      <c r="C29" s="12"/>
      <c r="D29" s="157">
        <f>+'Historical Financials'!CB69</f>
        <v>4315</v>
      </c>
      <c r="E29" s="157">
        <f>+'Historical Financials'!CC69</f>
        <v>5741</v>
      </c>
      <c r="F29" s="157">
        <f>+'Historical Financials'!CD69</f>
        <v>6862</v>
      </c>
      <c r="G29" s="157">
        <f>+'Historical Financials'!CE69</f>
        <v>7966</v>
      </c>
      <c r="H29" s="157">
        <f>+'Historical Financials'!CF69</f>
        <v>8686</v>
      </c>
      <c r="I29" s="157">
        <f>+'Historical Financials'!CG69</f>
        <v>11177</v>
      </c>
      <c r="J29" s="157">
        <f>+'D&amp;A Model - Case 3'!R59</f>
        <v>15435.789803690475</v>
      </c>
      <c r="K29" s="157">
        <f>+'D&amp;A Model - Case 3'!S59</f>
        <v>19255.820321336323</v>
      </c>
      <c r="L29" s="157">
        <f>+'D&amp;A Model - Case 3'!T59</f>
        <v>22629.903570036186</v>
      </c>
      <c r="M29" s="157">
        <f>+'D&amp;A Model - Case 3'!U59</f>
        <v>26506.426414517206</v>
      </c>
      <c r="N29" s="157">
        <f>+'D&amp;A Model - Case 3'!V59</f>
        <v>30683.202311097491</v>
      </c>
      <c r="O29" s="157">
        <f>+'D&amp;A Model - Case 3'!W59</f>
        <v>35104.907177884801</v>
      </c>
      <c r="P29" s="157">
        <f>+'D&amp;A Model - Case 3'!X59</f>
        <v>39689.938531613145</v>
      </c>
      <c r="Q29" s="157">
        <f>+'D&amp;A Model - Case 3'!Y59</f>
        <v>43539.591840528803</v>
      </c>
      <c r="R29" s="157">
        <f>+'D&amp;A Model - Case 3'!Z59</f>
        <v>47023.308512702359</v>
      </c>
      <c r="S29" s="157">
        <f>+'D&amp;A Model - Case 3'!AA59</f>
        <v>50720.759791994082</v>
      </c>
      <c r="T29" s="157">
        <f>+'D&amp;A Model - Case 3'!AB59</f>
        <v>55204.240810998155</v>
      </c>
      <c r="U29" s="157">
        <f>+'D&amp;A Model - Case 3'!AC59</f>
        <v>60124.17065352152</v>
      </c>
      <c r="V29" s="169"/>
      <c r="W29" s="249">
        <f>_xll.ciqfunctions.udf.CIQ($B$2, "IQ_DA_EST", "FY2024")</f>
        <v>14928.68462</v>
      </c>
      <c r="X29" s="249">
        <f>_xll.ciqfunctions.udf.CIQ($B$2, "IQ_DA_EST", "FY2025")</f>
        <v>19471.859469999999</v>
      </c>
    </row>
    <row r="30" spans="2:26" s="1" customFormat="1" x14ac:dyDescent="0.2">
      <c r="B30" s="149" t="s">
        <v>291</v>
      </c>
      <c r="C30" s="151"/>
      <c r="D30" s="151">
        <f t="shared" ref="D30:T30" si="16">+D16+D29</f>
        <v>29228</v>
      </c>
      <c r="E30" s="151">
        <f t="shared" si="16"/>
        <v>35277</v>
      </c>
      <c r="F30" s="151">
        <f t="shared" si="16"/>
        <v>39533</v>
      </c>
      <c r="G30" s="151">
        <f t="shared" si="16"/>
        <v>54719</v>
      </c>
      <c r="H30" s="151">
        <f t="shared" si="16"/>
        <v>42242</v>
      </c>
      <c r="I30" s="151">
        <f t="shared" si="16"/>
        <v>63250</v>
      </c>
      <c r="J30" s="151">
        <f>+J16+J29</f>
        <v>83395.268892319888</v>
      </c>
      <c r="K30" s="151">
        <f t="shared" si="16"/>
        <v>97114.626908590959</v>
      </c>
      <c r="L30" s="151">
        <f t="shared" si="16"/>
        <v>110800.45362216046</v>
      </c>
      <c r="M30" s="151">
        <f t="shared" si="16"/>
        <v>125427.04502815366</v>
      </c>
      <c r="N30" s="151">
        <f t="shared" si="16"/>
        <v>140819.6516425997</v>
      </c>
      <c r="O30" s="151">
        <f t="shared" si="16"/>
        <v>156952.00641400617</v>
      </c>
      <c r="P30" s="151">
        <f t="shared" si="16"/>
        <v>173773.28140840409</v>
      </c>
      <c r="Q30" s="151">
        <f t="shared" si="16"/>
        <v>190417.36754758112</v>
      </c>
      <c r="R30" s="151">
        <f t="shared" si="16"/>
        <v>207288.23216998469</v>
      </c>
      <c r="S30" s="151">
        <f t="shared" si="16"/>
        <v>225002.11905761584</v>
      </c>
      <c r="T30" s="151">
        <f t="shared" si="16"/>
        <v>242170.0655715763</v>
      </c>
      <c r="U30" s="151">
        <f>+U16+U29</f>
        <v>260483.53316574273</v>
      </c>
      <c r="W30" s="151">
        <f>+W16+W29</f>
        <v>80775.738419999994</v>
      </c>
      <c r="X30" s="151">
        <f>+X16+X29</f>
        <v>92838.302309999999</v>
      </c>
    </row>
    <row r="31" spans="2:26" s="7" customFormat="1" x14ac:dyDescent="0.2">
      <c r="B31" s="16" t="s">
        <v>17</v>
      </c>
      <c r="C31" s="14"/>
      <c r="D31" s="15"/>
      <c r="E31" s="145">
        <f t="shared" ref="E31:U31" si="17">+E30/D30-1</f>
        <v>0.20695908033392629</v>
      </c>
      <c r="F31" s="145">
        <f t="shared" si="17"/>
        <v>0.12064517957876242</v>
      </c>
      <c r="G31" s="145">
        <f t="shared" si="17"/>
        <v>0.3841347734803835</v>
      </c>
      <c r="H31" s="145">
        <f t="shared" si="17"/>
        <v>-0.22801951790054642</v>
      </c>
      <c r="I31" s="145">
        <f t="shared" si="17"/>
        <v>0.49732493726622784</v>
      </c>
      <c r="J31" s="145">
        <f t="shared" si="17"/>
        <v>0.31850227497738959</v>
      </c>
      <c r="K31" s="145">
        <f t="shared" si="17"/>
        <v>0.16451002794877412</v>
      </c>
      <c r="L31" s="145">
        <f t="shared" si="17"/>
        <v>0.14092446369022538</v>
      </c>
      <c r="M31" s="145">
        <f t="shared" si="17"/>
        <v>0.13200840725680774</v>
      </c>
      <c r="N31" s="145">
        <f t="shared" si="17"/>
        <v>0.12272159175073427</v>
      </c>
      <c r="O31" s="145">
        <f t="shared" si="17"/>
        <v>0.1145603939736366</v>
      </c>
      <c r="P31" s="145">
        <f t="shared" si="17"/>
        <v>0.10717464133607146</v>
      </c>
      <c r="Q31" s="145">
        <f t="shared" si="17"/>
        <v>9.5780467539540171E-2</v>
      </c>
      <c r="R31" s="145">
        <f t="shared" si="17"/>
        <v>8.8599400567744624E-2</v>
      </c>
      <c r="S31" s="145">
        <f t="shared" si="17"/>
        <v>8.5455342554636937E-2</v>
      </c>
      <c r="T31" s="145">
        <f t="shared" si="17"/>
        <v>7.630126589858599E-2</v>
      </c>
      <c r="U31" s="145">
        <f t="shared" si="17"/>
        <v>7.5622342302887446E-2</v>
      </c>
      <c r="W31" s="145">
        <f>+W30/I30-1</f>
        <v>0.277086773438735</v>
      </c>
      <c r="X31" s="145">
        <f>+X30/W30-1</f>
        <v>0.14933399713760243</v>
      </c>
    </row>
    <row r="32" spans="2:26" s="7" customFormat="1" x14ac:dyDescent="0.2">
      <c r="B32" s="16" t="s">
        <v>21</v>
      </c>
      <c r="C32" s="14"/>
      <c r="D32" s="147">
        <f t="shared" ref="D32:U32" si="18">+D30/D8</f>
        <v>0.52344281671979653</v>
      </c>
      <c r="E32" s="147">
        <f t="shared" si="18"/>
        <v>0.49898864166796331</v>
      </c>
      <c r="F32" s="147">
        <f t="shared" si="18"/>
        <v>0.45986785473326663</v>
      </c>
      <c r="G32" s="147">
        <f t="shared" si="18"/>
        <v>0.46399952513800674</v>
      </c>
      <c r="H32" s="147">
        <f t="shared" si="18"/>
        <v>0.36225334236636964</v>
      </c>
      <c r="I32" s="147">
        <f t="shared" si="18"/>
        <v>0.46886235090918527</v>
      </c>
      <c r="J32" s="147">
        <f t="shared" si="18"/>
        <v>0.51174833511709372</v>
      </c>
      <c r="K32" s="147">
        <f t="shared" si="18"/>
        <v>0.54326779246758217</v>
      </c>
      <c r="L32" s="147">
        <f t="shared" si="18"/>
        <v>0.56709180335047793</v>
      </c>
      <c r="M32" s="147">
        <f t="shared" si="18"/>
        <v>0.58918088607587327</v>
      </c>
      <c r="N32" s="147">
        <f t="shared" si="18"/>
        <v>0.60877760764596978</v>
      </c>
      <c r="O32" s="147">
        <f t="shared" si="18"/>
        <v>0.62596337220645881</v>
      </c>
      <c r="P32" s="147">
        <f t="shared" si="18"/>
        <v>0.64073517060109675</v>
      </c>
      <c r="Q32" s="147">
        <f t="shared" si="18"/>
        <v>0.65033680674992589</v>
      </c>
      <c r="R32" s="147">
        <f t="shared" si="18"/>
        <v>0.6568643164943847</v>
      </c>
      <c r="S32" s="147">
        <f t="shared" si="18"/>
        <v>0.66254017511561547</v>
      </c>
      <c r="T32" s="147">
        <f t="shared" si="18"/>
        <v>0.66352657513032853</v>
      </c>
      <c r="U32" s="147">
        <f t="shared" si="18"/>
        <v>0.66490376882797553</v>
      </c>
      <c r="W32" s="147">
        <f>+W30/W8</f>
        <v>0.4955812692300236</v>
      </c>
      <c r="X32" s="147">
        <f>+X30/X8</f>
        <v>0.49638622158640405</v>
      </c>
      <c r="Z32" s="185"/>
    </row>
    <row r="33" spans="2:24" s="7" customFormat="1" x14ac:dyDescent="0.2">
      <c r="B33" s="16"/>
      <c r="C33" s="14"/>
      <c r="D33" s="147"/>
      <c r="E33" s="147"/>
      <c r="F33" s="147"/>
      <c r="G33" s="147"/>
      <c r="H33" s="147"/>
      <c r="I33" s="147"/>
      <c r="J33" s="147"/>
      <c r="K33" s="147"/>
      <c r="L33" s="147"/>
      <c r="M33" s="147"/>
      <c r="N33" s="147"/>
      <c r="O33" s="147"/>
      <c r="P33" s="147"/>
      <c r="Q33" s="147"/>
      <c r="R33" s="147"/>
      <c r="S33" s="147"/>
      <c r="T33" s="147"/>
      <c r="U33" s="147"/>
      <c r="W33" s="147"/>
      <c r="X33" s="147"/>
    </row>
    <row r="34" spans="2:24" s="7" customFormat="1" x14ac:dyDescent="0.2">
      <c r="B34" s="16" t="s">
        <v>313</v>
      </c>
      <c r="C34" s="14"/>
      <c r="D34" s="147">
        <f t="shared" ref="D34:U34" si="19">+D29/D8</f>
        <v>7.7277123106128442E-2</v>
      </c>
      <c r="E34" s="147">
        <f t="shared" si="19"/>
        <v>8.1205708870249096E-2</v>
      </c>
      <c r="F34" s="147">
        <f t="shared" si="19"/>
        <v>7.9822255310238927E-2</v>
      </c>
      <c r="G34" s="147">
        <f t="shared" si="19"/>
        <v>6.7549118537425054E-2</v>
      </c>
      <c r="H34" s="147">
        <f t="shared" si="19"/>
        <v>7.44882470478265E-2</v>
      </c>
      <c r="I34" s="147">
        <f t="shared" si="19"/>
        <v>8.2853351717185192E-2</v>
      </c>
      <c r="J34" s="147">
        <f t="shared" si="19"/>
        <v>9.472047801003583E-2</v>
      </c>
      <c r="K34" s="147">
        <f t="shared" si="19"/>
        <v>0.1077187580401381</v>
      </c>
      <c r="L34" s="147">
        <f t="shared" si="19"/>
        <v>0.11582292676293295</v>
      </c>
      <c r="M34" s="147">
        <f t="shared" si="19"/>
        <v>0.12451126308608108</v>
      </c>
      <c r="N34" s="147">
        <f t="shared" si="19"/>
        <v>0.13264658930754319</v>
      </c>
      <c r="O34" s="147">
        <f t="shared" si="19"/>
        <v>0.14000704151624357</v>
      </c>
      <c r="P34" s="147">
        <f t="shared" si="19"/>
        <v>0.14634435932893824</v>
      </c>
      <c r="Q34" s="147">
        <f t="shared" si="19"/>
        <v>0.148701767540659</v>
      </c>
      <c r="R34" s="147">
        <f t="shared" si="19"/>
        <v>0.14900958478034329</v>
      </c>
      <c r="S34" s="147">
        <f t="shared" si="19"/>
        <v>0.14935210928382314</v>
      </c>
      <c r="T34" s="147">
        <f t="shared" si="19"/>
        <v>0.15125519643205129</v>
      </c>
      <c r="U34" s="147">
        <f t="shared" si="19"/>
        <v>0.15347145817369592</v>
      </c>
      <c r="V34" s="17"/>
      <c r="W34" s="147">
        <f>+W29/W8</f>
        <v>9.1591567178821373E-2</v>
      </c>
      <c r="X34" s="147">
        <f>+X29/X8</f>
        <v>0.10411179986144169</v>
      </c>
    </row>
    <row r="35" spans="2:24" s="7" customFormat="1" x14ac:dyDescent="0.2">
      <c r="B35" s="16"/>
      <c r="C35" s="14"/>
      <c r="D35" s="147"/>
      <c r="E35" s="147"/>
      <c r="F35" s="147"/>
      <c r="G35" s="147"/>
      <c r="H35" s="147"/>
      <c r="I35" s="147"/>
      <c r="J35" s="147"/>
      <c r="K35" s="147"/>
      <c r="L35" s="147"/>
      <c r="M35" s="147"/>
      <c r="N35" s="147"/>
      <c r="O35" s="147"/>
      <c r="P35" s="147"/>
      <c r="Q35" s="147"/>
      <c r="R35" s="147"/>
      <c r="S35" s="147"/>
      <c r="T35" s="147"/>
      <c r="U35" s="147"/>
      <c r="V35" s="17"/>
      <c r="W35" s="147"/>
      <c r="X35" s="147"/>
    </row>
    <row r="36" spans="2:24" s="7" customFormat="1" x14ac:dyDescent="0.2">
      <c r="B36" s="269" t="s">
        <v>19</v>
      </c>
      <c r="C36" s="14"/>
      <c r="D36" s="147"/>
      <c r="E36" s="147"/>
      <c r="F36" s="147"/>
      <c r="G36" s="147"/>
      <c r="H36" s="147"/>
      <c r="I36" s="147"/>
      <c r="J36" s="147"/>
      <c r="K36" s="147"/>
      <c r="L36" s="147"/>
      <c r="M36" s="147"/>
      <c r="N36" s="147"/>
      <c r="O36" s="147"/>
      <c r="P36" s="147"/>
      <c r="Q36" s="147"/>
      <c r="R36" s="147"/>
      <c r="S36" s="147"/>
      <c r="T36" s="147"/>
      <c r="U36" s="147"/>
      <c r="V36" s="17"/>
      <c r="W36" s="147"/>
      <c r="X36" s="147"/>
    </row>
    <row r="37" spans="2:24" s="7" customFormat="1" x14ac:dyDescent="0.2">
      <c r="B37" s="16" t="s">
        <v>525</v>
      </c>
      <c r="C37" s="14"/>
      <c r="D37" s="14">
        <f t="shared" ref="D37:U37" si="20">+D8-D30</f>
        <v>26610</v>
      </c>
      <c r="E37" s="14">
        <f t="shared" si="20"/>
        <v>35420</v>
      </c>
      <c r="F37" s="14">
        <f t="shared" si="20"/>
        <v>46433</v>
      </c>
      <c r="G37" s="14">
        <f t="shared" si="20"/>
        <v>63210</v>
      </c>
      <c r="H37" s="14">
        <f t="shared" si="20"/>
        <v>74367</v>
      </c>
      <c r="I37" s="14">
        <f t="shared" si="20"/>
        <v>71651</v>
      </c>
      <c r="J37" s="14">
        <f t="shared" si="20"/>
        <v>79566.216606676651</v>
      </c>
      <c r="K37" s="14">
        <f t="shared" si="20"/>
        <v>81645.513587656053</v>
      </c>
      <c r="L37" s="14">
        <f t="shared" si="20"/>
        <v>84583.173803825819</v>
      </c>
      <c r="M37" s="14">
        <f t="shared" si="20"/>
        <v>87456.719520856976</v>
      </c>
      <c r="N37" s="14">
        <f t="shared" si="20"/>
        <v>90495.774342142424</v>
      </c>
      <c r="O37" s="14">
        <f t="shared" si="20"/>
        <v>93784.719379974267</v>
      </c>
      <c r="P37" s="14">
        <f t="shared" si="20"/>
        <v>97435.931666915509</v>
      </c>
      <c r="Q37" s="14">
        <f t="shared" si="20"/>
        <v>102380.71118826125</v>
      </c>
      <c r="R37" s="14">
        <f t="shared" si="20"/>
        <v>108284.14246631772</v>
      </c>
      <c r="S37" s="14">
        <f t="shared" si="20"/>
        <v>114603.12679536539</v>
      </c>
      <c r="T37" s="14">
        <f t="shared" si="20"/>
        <v>122804.1112713177</v>
      </c>
      <c r="U37" s="14">
        <f t="shared" si="20"/>
        <v>131277.71918043742</v>
      </c>
      <c r="V37" s="17"/>
      <c r="W37" s="14">
        <f>+W8-W30</f>
        <v>82216.173170000009</v>
      </c>
      <c r="X37" s="14">
        <f>+X8-X30</f>
        <v>94190.060430000012</v>
      </c>
    </row>
    <row r="38" spans="2:24" s="7" customFormat="1" x14ac:dyDescent="0.2">
      <c r="B38" s="18" t="s">
        <v>17</v>
      </c>
      <c r="C38" s="14"/>
      <c r="D38" s="147"/>
      <c r="E38" s="145">
        <f t="shared" ref="E38:U38" si="21">+E37/D37-1</f>
        <v>0.33107854190154073</v>
      </c>
      <c r="F38" s="145">
        <f t="shared" si="21"/>
        <v>0.31092603049124778</v>
      </c>
      <c r="G38" s="145">
        <f t="shared" si="21"/>
        <v>0.3613163052139643</v>
      </c>
      <c r="H38" s="145">
        <f t="shared" si="21"/>
        <v>0.17650688182249641</v>
      </c>
      <c r="I38" s="145">
        <f t="shared" si="21"/>
        <v>-3.6521575429962261E-2</v>
      </c>
      <c r="J38" s="145">
        <f t="shared" si="21"/>
        <v>0.11046903192804924</v>
      </c>
      <c r="K38" s="145">
        <f t="shared" si="21"/>
        <v>2.6132912555816068E-2</v>
      </c>
      <c r="L38" s="145">
        <f t="shared" si="21"/>
        <v>3.5980669201325366E-2</v>
      </c>
      <c r="M38" s="145">
        <f t="shared" si="21"/>
        <v>3.3973018365281327E-2</v>
      </c>
      <c r="N38" s="145">
        <f t="shared" si="21"/>
        <v>3.474924325924067E-2</v>
      </c>
      <c r="O38" s="145">
        <f t="shared" si="21"/>
        <v>3.6343631089305273E-2</v>
      </c>
      <c r="P38" s="145">
        <f t="shared" si="21"/>
        <v>3.8931846371988765E-2</v>
      </c>
      <c r="Q38" s="145">
        <f t="shared" si="21"/>
        <v>5.0749035153165645E-2</v>
      </c>
      <c r="R38" s="145">
        <f t="shared" si="21"/>
        <v>5.766155762681735E-2</v>
      </c>
      <c r="S38" s="145">
        <f t="shared" si="21"/>
        <v>5.8355583607389461E-2</v>
      </c>
      <c r="T38" s="145">
        <f t="shared" si="21"/>
        <v>7.155986669190928E-2</v>
      </c>
      <c r="U38" s="145">
        <f t="shared" si="21"/>
        <v>6.9001011622473518E-2</v>
      </c>
      <c r="W38" s="145">
        <f>+W37/I37-1</f>
        <v>0.14745325494410411</v>
      </c>
      <c r="X38" s="145">
        <f>+X37/W37-1</f>
        <v>0.14563907316923341</v>
      </c>
    </row>
    <row r="39" spans="2:24" s="7" customFormat="1" x14ac:dyDescent="0.2">
      <c r="B39" s="18" t="s">
        <v>20</v>
      </c>
      <c r="C39" s="14"/>
      <c r="D39" s="147">
        <f t="shared" ref="D39:U39" si="22">+D37/D8</f>
        <v>0.47655718328020347</v>
      </c>
      <c r="E39" s="147">
        <f t="shared" si="22"/>
        <v>0.50101135833203669</v>
      </c>
      <c r="F39" s="147">
        <f t="shared" si="22"/>
        <v>0.54013214526673337</v>
      </c>
      <c r="G39" s="147">
        <f t="shared" si="22"/>
        <v>0.5360004748619932</v>
      </c>
      <c r="H39" s="147">
        <f t="shared" si="22"/>
        <v>0.63774665763363036</v>
      </c>
      <c r="I39" s="147">
        <f t="shared" si="22"/>
        <v>0.53113764909081473</v>
      </c>
      <c r="J39" s="147">
        <f t="shared" si="22"/>
        <v>0.48825166488290628</v>
      </c>
      <c r="K39" s="147">
        <f t="shared" si="22"/>
        <v>0.45673220753241778</v>
      </c>
      <c r="L39" s="147">
        <f t="shared" si="22"/>
        <v>0.43290819664952207</v>
      </c>
      <c r="M39" s="147">
        <f t="shared" si="22"/>
        <v>0.41081911392412673</v>
      </c>
      <c r="N39" s="147">
        <f t="shared" si="22"/>
        <v>0.39122239235403022</v>
      </c>
      <c r="O39" s="147">
        <f t="shared" si="22"/>
        <v>0.37403662779354124</v>
      </c>
      <c r="P39" s="147">
        <f t="shared" si="22"/>
        <v>0.35926482939890331</v>
      </c>
      <c r="Q39" s="147">
        <f t="shared" si="22"/>
        <v>0.34966319325007406</v>
      </c>
      <c r="R39" s="147">
        <f t="shared" si="22"/>
        <v>0.3431356835056153</v>
      </c>
      <c r="S39" s="147">
        <f t="shared" si="22"/>
        <v>0.33745982488438447</v>
      </c>
      <c r="T39" s="147">
        <f t="shared" si="22"/>
        <v>0.33647342486967152</v>
      </c>
      <c r="U39" s="147">
        <f t="shared" si="22"/>
        <v>0.33509623117202453</v>
      </c>
      <c r="V39" s="17"/>
      <c r="W39" s="147">
        <f>+W37/W8</f>
        <v>0.50441873076997645</v>
      </c>
      <c r="X39" s="147">
        <f>+X37/X8</f>
        <v>0.503613778413596</v>
      </c>
    </row>
    <row r="40" spans="2:24" s="7" customFormat="1" x14ac:dyDescent="0.2">
      <c r="B40" s="168"/>
      <c r="C40" s="14"/>
      <c r="D40" s="19"/>
      <c r="E40" s="19"/>
      <c r="F40" s="19"/>
      <c r="G40" s="19"/>
      <c r="H40" s="19"/>
      <c r="I40" s="19"/>
      <c r="J40" s="19"/>
      <c r="K40" s="19"/>
      <c r="L40" s="19"/>
      <c r="M40" s="19"/>
      <c r="N40" s="19"/>
    </row>
    <row r="41" spans="2:24" s="7" customFormat="1" x14ac:dyDescent="0.2">
      <c r="B41" s="23" t="s">
        <v>29</v>
      </c>
      <c r="C41" s="14"/>
      <c r="D41" s="159">
        <f>+-'Historical Financials'!CB90</f>
        <v>13914</v>
      </c>
      <c r="E41" s="159">
        <f>+-'Historical Financials'!CC90</f>
        <v>15654</v>
      </c>
      <c r="F41" s="159">
        <f>+-'Historical Financials'!CD90</f>
        <v>15718</v>
      </c>
      <c r="G41" s="159">
        <f>+-'Historical Financials'!CE90</f>
        <v>19244</v>
      </c>
      <c r="H41" s="159">
        <f>+-'Historical Financials'!CF90</f>
        <v>32036</v>
      </c>
      <c r="I41" s="159">
        <f>+-'Historical Financials'!CG90</f>
        <v>28103</v>
      </c>
      <c r="J41" s="159">
        <f>+-'Historical Financials'!CH90</f>
        <v>37974.480794708994</v>
      </c>
      <c r="K41" s="12">
        <f t="shared" ref="K41:U41" si="23">K42*K8</f>
        <v>44690.035124061753</v>
      </c>
      <c r="L41" s="12">
        <f t="shared" si="23"/>
        <v>46892.070582236709</v>
      </c>
      <c r="M41" s="12">
        <f t="shared" si="23"/>
        <v>48963.26584627245</v>
      </c>
      <c r="N41" s="12">
        <f t="shared" si="23"/>
        <v>50889.393716643266</v>
      </c>
      <c r="O41" s="12">
        <f t="shared" si="23"/>
        <v>55162.079674675697</v>
      </c>
      <c r="P41" s="12">
        <f t="shared" si="23"/>
        <v>59666.026876570315</v>
      </c>
      <c r="Q41" s="12">
        <f t="shared" si="23"/>
        <v>64415.577321885321</v>
      </c>
      <c r="R41" s="12">
        <f t="shared" si="23"/>
        <v>69425.922419986528</v>
      </c>
      <c r="S41" s="12">
        <f t="shared" si="23"/>
        <v>74713.154087655872</v>
      </c>
      <c r="T41" s="12">
        <f t="shared" si="23"/>
        <v>80294.318905436681</v>
      </c>
      <c r="U41" s="12">
        <f t="shared" si="23"/>
        <v>86187.475516159626</v>
      </c>
      <c r="W41" s="250">
        <f>-_xll.ciqfunctions.udf.CIQ($B$2, "IQ_CAPEX_EST", "FY2024")</f>
        <v>38375.807529999998</v>
      </c>
      <c r="X41" s="250">
        <f>-_xll.ciqfunctions.udf.CIQ($B$2, "IQ_CAPEX_EST", "FY2025")</f>
        <v>66910.058470000004</v>
      </c>
    </row>
    <row r="42" spans="2:24" s="7" customFormat="1" x14ac:dyDescent="0.2">
      <c r="B42" s="13" t="s">
        <v>20</v>
      </c>
      <c r="C42" s="14"/>
      <c r="D42" s="15">
        <f t="shared" ref="D42:J42" si="24">D41/D8</f>
        <v>0.24918514273433862</v>
      </c>
      <c r="E42" s="15">
        <f t="shared" si="24"/>
        <v>0.22142382279304637</v>
      </c>
      <c r="F42" s="15">
        <f t="shared" si="24"/>
        <v>0.18283972733406231</v>
      </c>
      <c r="G42" s="15">
        <f t="shared" si="24"/>
        <v>0.16318293210321463</v>
      </c>
      <c r="H42" s="15">
        <f t="shared" si="24"/>
        <v>0.27473008086854361</v>
      </c>
      <c r="I42" s="15">
        <f t="shared" si="24"/>
        <v>0.20832314067353097</v>
      </c>
      <c r="J42" s="15">
        <f t="shared" si="24"/>
        <v>0.23302733574395912</v>
      </c>
      <c r="K42" s="17">
        <v>0.25</v>
      </c>
      <c r="L42" s="17">
        <v>0.24</v>
      </c>
      <c r="M42" s="17">
        <v>0.23</v>
      </c>
      <c r="N42" s="17">
        <v>0.22</v>
      </c>
      <c r="O42" s="17">
        <v>0.22</v>
      </c>
      <c r="P42" s="17">
        <v>0.22</v>
      </c>
      <c r="Q42" s="17">
        <v>0.22</v>
      </c>
      <c r="R42" s="17">
        <v>0.22</v>
      </c>
      <c r="S42" s="17">
        <v>0.22</v>
      </c>
      <c r="T42" s="17">
        <v>0.22</v>
      </c>
      <c r="U42" s="17">
        <v>0.22</v>
      </c>
      <c r="W42" s="15">
        <f>W41/W8</f>
        <v>0.23544608536485476</v>
      </c>
      <c r="X42" s="15">
        <f>X41/X8</f>
        <v>0.35775353796480547</v>
      </c>
    </row>
    <row r="43" spans="2:24" s="7" customFormat="1" ht="13.5" x14ac:dyDescent="0.35">
      <c r="B43" s="23"/>
      <c r="C43" s="14"/>
      <c r="D43" s="157"/>
      <c r="E43" s="157"/>
      <c r="F43" s="157"/>
      <c r="G43" s="157"/>
      <c r="H43" s="157"/>
      <c r="I43" s="25"/>
      <c r="J43" s="25"/>
      <c r="K43" s="25"/>
      <c r="L43" s="25"/>
      <c r="M43" s="25"/>
      <c r="N43" s="25"/>
      <c r="O43" s="25"/>
      <c r="P43" s="25"/>
      <c r="Q43" s="25"/>
      <c r="R43" s="25"/>
      <c r="S43" s="25"/>
      <c r="T43" s="25"/>
      <c r="U43" s="25"/>
      <c r="W43" s="157"/>
      <c r="X43" s="157"/>
    </row>
    <row r="44" spans="2:24" s="7" customFormat="1" x14ac:dyDescent="0.2">
      <c r="B44" s="1" t="s">
        <v>294</v>
      </c>
      <c r="C44" s="14"/>
      <c r="D44" s="151">
        <f>+D30-D41</f>
        <v>15314</v>
      </c>
      <c r="E44" s="151">
        <f t="shared" ref="E44:T44" si="25">+E30-E41</f>
        <v>19623</v>
      </c>
      <c r="F44" s="151">
        <f t="shared" si="25"/>
        <v>23815</v>
      </c>
      <c r="G44" s="151">
        <f t="shared" si="25"/>
        <v>35475</v>
      </c>
      <c r="H44" s="151">
        <f t="shared" si="25"/>
        <v>10206</v>
      </c>
      <c r="I44" s="151">
        <f t="shared" si="25"/>
        <v>35147</v>
      </c>
      <c r="J44" s="151">
        <f>+J30-J41</f>
        <v>45420.788097610894</v>
      </c>
      <c r="K44" s="151">
        <f t="shared" si="25"/>
        <v>52424.591784529206</v>
      </c>
      <c r="L44" s="151">
        <f t="shared" si="25"/>
        <v>63908.383039923756</v>
      </c>
      <c r="M44" s="151">
        <f t="shared" si="25"/>
        <v>76463.779181881211</v>
      </c>
      <c r="N44" s="151">
        <f t="shared" si="25"/>
        <v>89930.257925956423</v>
      </c>
      <c r="O44" s="151">
        <f t="shared" si="25"/>
        <v>101789.92673933048</v>
      </c>
      <c r="P44" s="151">
        <f t="shared" si="25"/>
        <v>114107.25453183378</v>
      </c>
      <c r="Q44" s="151">
        <f t="shared" si="25"/>
        <v>126001.79022569579</v>
      </c>
      <c r="R44" s="151">
        <f t="shared" si="25"/>
        <v>137862.30974999815</v>
      </c>
      <c r="S44" s="151">
        <f t="shared" si="25"/>
        <v>150288.96496995998</v>
      </c>
      <c r="T44" s="151">
        <f t="shared" si="25"/>
        <v>161875.74666613963</v>
      </c>
      <c r="U44" s="151">
        <f>+U30-U41</f>
        <v>174296.05764958309</v>
      </c>
      <c r="W44" s="151">
        <f>+W30-W41</f>
        <v>42399.930889999996</v>
      </c>
      <c r="X44" s="151">
        <f>+X30-X41</f>
        <v>25928.243839999996</v>
      </c>
    </row>
    <row r="45" spans="2:24" s="7" customFormat="1" x14ac:dyDescent="0.2">
      <c r="B45" s="13" t="s">
        <v>17</v>
      </c>
      <c r="C45" s="14"/>
      <c r="D45" s="15"/>
      <c r="E45" s="145">
        <f t="shared" ref="E45:U45" si="26">+E44/D44-1</f>
        <v>0.28137651821862342</v>
      </c>
      <c r="F45" s="145">
        <f t="shared" si="26"/>
        <v>0.21362686643224782</v>
      </c>
      <c r="G45" s="145">
        <f t="shared" si="26"/>
        <v>0.48960739030023093</v>
      </c>
      <c r="H45" s="145">
        <f t="shared" si="26"/>
        <v>-0.7123044397463002</v>
      </c>
      <c r="I45" s="145">
        <f t="shared" si="26"/>
        <v>2.443758573388203</v>
      </c>
      <c r="J45" s="145">
        <f t="shared" si="26"/>
        <v>0.29230910454977366</v>
      </c>
      <c r="K45" s="145">
        <f t="shared" si="26"/>
        <v>0.15419819823176306</v>
      </c>
      <c r="L45" s="145">
        <f t="shared" si="26"/>
        <v>0.21905351790995686</v>
      </c>
      <c r="M45" s="145">
        <f t="shared" si="26"/>
        <v>0.19645929915194471</v>
      </c>
      <c r="N45" s="145">
        <f t="shared" si="26"/>
        <v>0.17611578826156449</v>
      </c>
      <c r="O45" s="145">
        <f t="shared" si="26"/>
        <v>0.13187629043762605</v>
      </c>
      <c r="P45" s="145">
        <f t="shared" si="26"/>
        <v>0.12100733527440521</v>
      </c>
      <c r="Q45" s="145">
        <f t="shared" si="26"/>
        <v>0.10423996040097228</v>
      </c>
      <c r="R45" s="145">
        <f t="shared" si="26"/>
        <v>9.4129769926742046E-2</v>
      </c>
      <c r="S45" s="145">
        <f t="shared" si="26"/>
        <v>9.013816207269798E-2</v>
      </c>
      <c r="T45" s="145">
        <f t="shared" si="26"/>
        <v>7.709668969039507E-2</v>
      </c>
      <c r="U45" s="145">
        <f t="shared" si="26"/>
        <v>7.6727435945421307E-2</v>
      </c>
      <c r="W45" s="145">
        <f>+W44/I44-1</f>
        <v>0.20635988533872007</v>
      </c>
      <c r="X45" s="145">
        <f>+X44/W44-1</f>
        <v>-0.38848381835180867</v>
      </c>
    </row>
    <row r="46" spans="2:24" s="7" customFormat="1" x14ac:dyDescent="0.2">
      <c r="B46" s="13" t="s">
        <v>21</v>
      </c>
      <c r="C46" s="14"/>
      <c r="D46" s="147">
        <f t="shared" ref="D46:U46" si="27">+D44/D8</f>
        <v>0.27425767398545792</v>
      </c>
      <c r="E46" s="147">
        <f t="shared" si="27"/>
        <v>0.27756481887491691</v>
      </c>
      <c r="F46" s="147">
        <f t="shared" si="27"/>
        <v>0.27702812739920435</v>
      </c>
      <c r="G46" s="147">
        <f t="shared" si="27"/>
        <v>0.30081659303479213</v>
      </c>
      <c r="H46" s="147">
        <f t="shared" si="27"/>
        <v>8.7523261497826063E-2</v>
      </c>
      <c r="I46" s="147">
        <f t="shared" si="27"/>
        <v>0.26053921023565429</v>
      </c>
      <c r="J46" s="147">
        <f t="shared" si="27"/>
        <v>0.2787209993731346</v>
      </c>
      <c r="K46" s="147">
        <f t="shared" si="27"/>
        <v>0.29326779246758222</v>
      </c>
      <c r="L46" s="147">
        <f t="shared" si="27"/>
        <v>0.32709180335047794</v>
      </c>
      <c r="M46" s="147">
        <f t="shared" si="27"/>
        <v>0.35918088607587323</v>
      </c>
      <c r="N46" s="147">
        <f t="shared" si="27"/>
        <v>0.38877760764596975</v>
      </c>
      <c r="O46" s="147">
        <f t="shared" si="27"/>
        <v>0.40596337220645878</v>
      </c>
      <c r="P46" s="147">
        <f t="shared" si="27"/>
        <v>0.42073517060109672</v>
      </c>
      <c r="Q46" s="147">
        <f t="shared" si="27"/>
        <v>0.43033680674992592</v>
      </c>
      <c r="R46" s="147">
        <f t="shared" si="27"/>
        <v>0.43686431649438467</v>
      </c>
      <c r="S46" s="147">
        <f t="shared" si="27"/>
        <v>0.44254017511561555</v>
      </c>
      <c r="T46" s="147">
        <f t="shared" si="27"/>
        <v>0.4435265751303285</v>
      </c>
      <c r="U46" s="147">
        <f t="shared" si="27"/>
        <v>0.44490376882797544</v>
      </c>
      <c r="W46" s="147">
        <f>+W44/W8</f>
        <v>0.26013518386516887</v>
      </c>
      <c r="X46" s="147">
        <f>+X44/X8</f>
        <v>0.13863268362159856</v>
      </c>
    </row>
    <row r="47" spans="2:24" s="7" customFormat="1" x14ac:dyDescent="0.2">
      <c r="B47" s="18"/>
      <c r="C47" s="14"/>
      <c r="D47" s="19"/>
      <c r="E47" s="19"/>
      <c r="F47" s="19"/>
      <c r="G47" s="19"/>
      <c r="H47" s="19"/>
      <c r="I47" s="19"/>
      <c r="J47" s="19"/>
      <c r="K47" s="19"/>
      <c r="L47" s="19"/>
      <c r="M47" s="19"/>
      <c r="N47" s="19"/>
    </row>
    <row r="48" spans="2:24" x14ac:dyDescent="0.2">
      <c r="B48" s="2" t="s">
        <v>24</v>
      </c>
      <c r="C48" s="12"/>
      <c r="D48" s="159">
        <f>+-'Historical Financials'!CB80</f>
        <v>-448</v>
      </c>
      <c r="E48" s="159">
        <f>+-'Historical Financials'!CC80</f>
        <v>-826</v>
      </c>
      <c r="F48" s="159">
        <f>+-'Historical Financials'!CD80</f>
        <v>-509</v>
      </c>
      <c r="G48" s="159">
        <f>+-'Historical Financials'!CE80</f>
        <v>-534</v>
      </c>
      <c r="H48" s="159">
        <f>+-'Historical Financials'!CF80</f>
        <v>126</v>
      </c>
      <c r="I48" s="159">
        <f>+-'Historical Financials'!CG80</f>
        <v>-677</v>
      </c>
      <c r="J48" s="159">
        <f>+-'Historical Financials'!CH80</f>
        <v>-1096</v>
      </c>
      <c r="K48" s="12">
        <f t="shared" ref="K48:U48" si="28">+MAX(K49*AVERAGE(J66),0)</f>
        <v>0</v>
      </c>
      <c r="L48" s="12">
        <f t="shared" si="28"/>
        <v>0</v>
      </c>
      <c r="M48" s="12">
        <f t="shared" si="28"/>
        <v>0</v>
      </c>
      <c r="N48" s="12">
        <f t="shared" si="28"/>
        <v>0</v>
      </c>
      <c r="O48" s="12">
        <f t="shared" si="28"/>
        <v>0</v>
      </c>
      <c r="P48" s="12">
        <f t="shared" si="28"/>
        <v>0</v>
      </c>
      <c r="Q48" s="12">
        <f t="shared" si="28"/>
        <v>0</v>
      </c>
      <c r="R48" s="12">
        <f t="shared" si="28"/>
        <v>0</v>
      </c>
      <c r="S48" s="12">
        <f t="shared" si="28"/>
        <v>0</v>
      </c>
      <c r="T48" s="12">
        <f t="shared" si="28"/>
        <v>0</v>
      </c>
      <c r="U48" s="12">
        <f t="shared" si="28"/>
        <v>0</v>
      </c>
      <c r="W48" s="178">
        <v>0</v>
      </c>
      <c r="X48" s="27">
        <f>+J48</f>
        <v>-1096</v>
      </c>
    </row>
    <row r="49" spans="2:24" s="7" customFormat="1" x14ac:dyDescent="0.2">
      <c r="B49" s="13" t="s">
        <v>25</v>
      </c>
      <c r="C49" s="14"/>
      <c r="D49" s="22" t="s">
        <v>26</v>
      </c>
      <c r="E49" s="22" t="s">
        <v>26</v>
      </c>
      <c r="F49" s="22" t="s">
        <v>26</v>
      </c>
      <c r="G49" s="22" t="s">
        <v>26</v>
      </c>
      <c r="H49" s="22" t="s">
        <v>26</v>
      </c>
      <c r="I49" s="22" t="s">
        <v>26</v>
      </c>
      <c r="J49" s="22" t="s">
        <v>26</v>
      </c>
      <c r="K49" s="148">
        <v>0</v>
      </c>
      <c r="L49" s="148">
        <v>0</v>
      </c>
      <c r="M49" s="148">
        <v>0</v>
      </c>
      <c r="N49" s="148">
        <v>0</v>
      </c>
      <c r="O49" s="148">
        <v>0</v>
      </c>
      <c r="P49" s="148">
        <v>0</v>
      </c>
      <c r="Q49" s="148">
        <v>0</v>
      </c>
      <c r="R49" s="148">
        <v>0</v>
      </c>
      <c r="S49" s="148">
        <v>0</v>
      </c>
      <c r="T49" s="148">
        <v>0</v>
      </c>
      <c r="U49" s="148">
        <v>0</v>
      </c>
      <c r="W49" s="22" t="s">
        <v>26</v>
      </c>
      <c r="X49" s="22" t="s">
        <v>26</v>
      </c>
    </row>
    <row r="50" spans="2:24" s="7" customFormat="1" x14ac:dyDescent="0.2">
      <c r="B50" s="13"/>
      <c r="C50" s="14"/>
      <c r="D50" s="22"/>
      <c r="E50" s="22"/>
      <c r="F50" s="22"/>
      <c r="G50" s="22"/>
      <c r="H50" s="17"/>
      <c r="I50" s="17"/>
      <c r="J50" s="17"/>
      <c r="K50" s="17"/>
      <c r="L50" s="17"/>
      <c r="M50" s="19"/>
      <c r="N50" s="19"/>
      <c r="O50" s="19"/>
      <c r="P50" s="19"/>
      <c r="Q50" s="19"/>
      <c r="R50" s="19"/>
      <c r="S50" s="19"/>
      <c r="T50" s="19"/>
      <c r="U50" s="19"/>
    </row>
    <row r="51" spans="2:24" x14ac:dyDescent="0.2">
      <c r="B51" s="2" t="s">
        <v>27</v>
      </c>
      <c r="C51" s="12"/>
      <c r="D51" s="12">
        <f t="shared" ref="D51:T51" si="29">+(D16-D48)*D52</f>
        <v>5072.2000000000007</v>
      </c>
      <c r="E51" s="12">
        <f t="shared" si="29"/>
        <v>6072.4000000000005</v>
      </c>
      <c r="F51" s="12">
        <f t="shared" si="29"/>
        <v>6636</v>
      </c>
      <c r="G51" s="12">
        <f t="shared" si="29"/>
        <v>9457.4</v>
      </c>
      <c r="H51" s="12">
        <f t="shared" si="29"/>
        <v>6686</v>
      </c>
      <c r="I51" s="12">
        <f t="shared" si="29"/>
        <v>10550</v>
      </c>
      <c r="J51" s="12">
        <f>+(J16-J48)*J52</f>
        <v>13811.095817725882</v>
      </c>
      <c r="K51" s="12">
        <f t="shared" si="29"/>
        <v>15571.76131745093</v>
      </c>
      <c r="L51" s="12">
        <f t="shared" si="29"/>
        <v>17634.110010424858</v>
      </c>
      <c r="M51" s="12">
        <f t="shared" si="29"/>
        <v>19784.123722727294</v>
      </c>
      <c r="N51" s="12">
        <f t="shared" si="29"/>
        <v>22027.289866300442</v>
      </c>
      <c r="O51" s="12">
        <f t="shared" si="29"/>
        <v>24369.419847224272</v>
      </c>
      <c r="P51" s="12">
        <f t="shared" si="29"/>
        <v>26816.668575358188</v>
      </c>
      <c r="Q51" s="12">
        <f t="shared" si="29"/>
        <v>29375.555141410467</v>
      </c>
      <c r="R51" s="12">
        <f t="shared" si="29"/>
        <v>32052.984731456469</v>
      </c>
      <c r="S51" s="12">
        <f t="shared" si="29"/>
        <v>34856.271853124352</v>
      </c>
      <c r="T51" s="12">
        <f t="shared" si="29"/>
        <v>37393.164952115629</v>
      </c>
      <c r="U51" s="12">
        <f>+(U16-U48)*U52</f>
        <v>40071.872502444246</v>
      </c>
      <c r="W51" s="12">
        <f>+(W16-W48)*W52</f>
        <v>8381.3883358706589</v>
      </c>
      <c r="X51" s="12">
        <f>+(X16-X48)*X52</f>
        <v>9602.9000159749194</v>
      </c>
    </row>
    <row r="52" spans="2:24" x14ac:dyDescent="0.2">
      <c r="B52" s="13" t="s">
        <v>28</v>
      </c>
      <c r="C52" s="12"/>
      <c r="D52" s="148">
        <v>0.2</v>
      </c>
      <c r="E52" s="147">
        <f t="shared" ref="E52:U52" si="30">D52</f>
        <v>0.2</v>
      </c>
      <c r="F52" s="147">
        <f t="shared" si="30"/>
        <v>0.2</v>
      </c>
      <c r="G52" s="147">
        <f t="shared" si="30"/>
        <v>0.2</v>
      </c>
      <c r="H52" s="147">
        <f t="shared" si="30"/>
        <v>0.2</v>
      </c>
      <c r="I52" s="147">
        <f t="shared" si="30"/>
        <v>0.2</v>
      </c>
      <c r="J52" s="147">
        <f t="shared" si="30"/>
        <v>0.2</v>
      </c>
      <c r="K52" s="147">
        <f t="shared" si="30"/>
        <v>0.2</v>
      </c>
      <c r="L52" s="147">
        <f t="shared" si="30"/>
        <v>0.2</v>
      </c>
      <c r="M52" s="147">
        <f t="shared" si="30"/>
        <v>0.2</v>
      </c>
      <c r="N52" s="147">
        <f t="shared" si="30"/>
        <v>0.2</v>
      </c>
      <c r="O52" s="147">
        <f t="shared" si="30"/>
        <v>0.2</v>
      </c>
      <c r="P52" s="147">
        <f t="shared" si="30"/>
        <v>0.2</v>
      </c>
      <c r="Q52" s="147">
        <f t="shared" si="30"/>
        <v>0.2</v>
      </c>
      <c r="R52" s="147">
        <f t="shared" si="30"/>
        <v>0.2</v>
      </c>
      <c r="S52" s="147">
        <f t="shared" si="30"/>
        <v>0.2</v>
      </c>
      <c r="T52" s="147">
        <f t="shared" si="30"/>
        <v>0.2</v>
      </c>
      <c r="U52" s="147">
        <f t="shared" si="30"/>
        <v>0.2</v>
      </c>
      <c r="W52" s="251">
        <f>_xll.ciqfunctions.udf.CIQ($B$2, "IQ_EFFECTIVE_TAX_EST", "FY2024")/100</f>
        <v>0.1272857</v>
      </c>
      <c r="X52" s="251">
        <f>_xll.ciqfunctions.udf.CIQ($B$2, "IQ_EFFECTIVE_TAX_EST", "FY2025")/100</f>
        <v>0.12896299999999999</v>
      </c>
    </row>
    <row r="53" spans="2:24" x14ac:dyDescent="0.2">
      <c r="B53" s="13"/>
      <c r="C53" s="12"/>
      <c r="D53" s="17"/>
      <c r="E53" s="19"/>
      <c r="F53" s="19"/>
      <c r="G53" s="19"/>
      <c r="H53" s="19"/>
      <c r="I53" s="19"/>
      <c r="J53" s="19"/>
      <c r="K53" s="19"/>
      <c r="L53" s="19"/>
      <c r="M53" s="19"/>
      <c r="N53" s="19"/>
      <c r="O53" s="19"/>
      <c r="P53" s="19"/>
      <c r="Q53" s="19"/>
      <c r="R53" s="19"/>
      <c r="S53" s="19"/>
      <c r="T53" s="19"/>
      <c r="U53" s="19"/>
    </row>
    <row r="54" spans="2:24" s="152" customFormat="1" x14ac:dyDescent="0.2">
      <c r="B54" s="170" t="s">
        <v>30</v>
      </c>
      <c r="C54" s="150"/>
      <c r="D54" s="151">
        <f t="shared" ref="D54:T54" si="31">+D44-D48-D51</f>
        <v>10689.8</v>
      </c>
      <c r="E54" s="151">
        <f t="shared" si="31"/>
        <v>14376.599999999999</v>
      </c>
      <c r="F54" s="151">
        <f t="shared" si="31"/>
        <v>17688</v>
      </c>
      <c r="G54" s="151">
        <f t="shared" si="31"/>
        <v>26551.599999999999</v>
      </c>
      <c r="H54" s="151">
        <f t="shared" si="31"/>
        <v>3394</v>
      </c>
      <c r="I54" s="151">
        <f t="shared" si="31"/>
        <v>25274</v>
      </c>
      <c r="J54" s="151">
        <f>+J44-J48-J51</f>
        <v>32705.692279885014</v>
      </c>
      <c r="K54" s="151">
        <f t="shared" si="31"/>
        <v>36852.830467078275</v>
      </c>
      <c r="L54" s="151">
        <f t="shared" si="31"/>
        <v>46274.273029498901</v>
      </c>
      <c r="M54" s="151">
        <f t="shared" si="31"/>
        <v>56679.655459153917</v>
      </c>
      <c r="N54" s="151">
        <f t="shared" si="31"/>
        <v>67902.968059655977</v>
      </c>
      <c r="O54" s="151">
        <f t="shared" si="31"/>
        <v>77420.506892106205</v>
      </c>
      <c r="P54" s="151">
        <f t="shared" si="31"/>
        <v>87290.585956475596</v>
      </c>
      <c r="Q54" s="151">
        <f t="shared" si="31"/>
        <v>96626.235084285319</v>
      </c>
      <c r="R54" s="151">
        <f t="shared" si="31"/>
        <v>105809.32501854168</v>
      </c>
      <c r="S54" s="151">
        <f t="shared" si="31"/>
        <v>115432.69311683564</v>
      </c>
      <c r="T54" s="151">
        <f t="shared" si="31"/>
        <v>124482.58171402401</v>
      </c>
      <c r="U54" s="151">
        <f>+U44-U48-U51</f>
        <v>134224.18514713884</v>
      </c>
      <c r="W54" s="151">
        <f>+W44-W48-W51</f>
        <v>34018.542554129337</v>
      </c>
      <c r="X54" s="151">
        <f>+X44-X48-X51</f>
        <v>17421.343824025076</v>
      </c>
    </row>
    <row r="55" spans="2:24" s="7" customFormat="1" x14ac:dyDescent="0.2">
      <c r="B55" s="13" t="s">
        <v>17</v>
      </c>
      <c r="C55" s="14"/>
      <c r="D55" s="15"/>
      <c r="E55" s="145">
        <f>+E54/D54-1</f>
        <v>0.34488952085165292</v>
      </c>
      <c r="F55" s="145">
        <f t="shared" ref="F55:U55" si="32">+F54/E54-1</f>
        <v>0.23033262384708486</v>
      </c>
      <c r="G55" s="145">
        <f t="shared" si="32"/>
        <v>0.50110809588421512</v>
      </c>
      <c r="H55" s="145">
        <f t="shared" si="32"/>
        <v>-0.87217342834330136</v>
      </c>
      <c r="I55" s="145">
        <f t="shared" si="32"/>
        <v>6.4466705951679435</v>
      </c>
      <c r="J55" s="145">
        <f t="shared" si="32"/>
        <v>0.29404495845078005</v>
      </c>
      <c r="K55" s="145">
        <f t="shared" si="32"/>
        <v>0.12680172465708295</v>
      </c>
      <c r="L55" s="145">
        <f t="shared" si="32"/>
        <v>0.25565044646535573</v>
      </c>
      <c r="M55" s="145">
        <f t="shared" si="32"/>
        <v>0.22486322849462814</v>
      </c>
      <c r="N55" s="145">
        <f t="shared" si="32"/>
        <v>0.19801307029098147</v>
      </c>
      <c r="O55" s="145">
        <f t="shared" si="32"/>
        <v>0.14016381175103598</v>
      </c>
      <c r="P55" s="145">
        <f t="shared" si="32"/>
        <v>0.12748662415920897</v>
      </c>
      <c r="Q55" s="145">
        <f t="shared" si="32"/>
        <v>0.1069490945159266</v>
      </c>
      <c r="R55" s="145">
        <f t="shared" si="32"/>
        <v>9.5037232137277439E-2</v>
      </c>
      <c r="S55" s="145">
        <f t="shared" si="32"/>
        <v>9.0950094394871117E-2</v>
      </c>
      <c r="T55" s="145">
        <f t="shared" si="32"/>
        <v>7.8399700750535928E-2</v>
      </c>
      <c r="U55" s="145">
        <f t="shared" si="32"/>
        <v>7.8256759290985523E-2</v>
      </c>
      <c r="W55" s="145">
        <f>+W54/I54-1</f>
        <v>0.34598965554045025</v>
      </c>
      <c r="X55" s="145">
        <f>+X54/W54-1</f>
        <v>-0.48788682535988337</v>
      </c>
    </row>
    <row r="56" spans="2:24" s="7" customFormat="1" x14ac:dyDescent="0.2">
      <c r="B56" s="13"/>
      <c r="C56" s="14"/>
      <c r="D56" s="15"/>
      <c r="E56" s="145"/>
      <c r="F56" s="145"/>
      <c r="G56" s="145"/>
      <c r="H56" s="145"/>
      <c r="I56" s="145"/>
      <c r="J56" s="145"/>
      <c r="K56" s="145"/>
      <c r="L56" s="145"/>
      <c r="M56" s="145"/>
      <c r="N56" s="145"/>
      <c r="O56" s="145"/>
      <c r="P56" s="145"/>
      <c r="Q56" s="145"/>
      <c r="R56" s="145"/>
      <c r="S56" s="145"/>
      <c r="T56" s="145"/>
      <c r="U56" s="145"/>
      <c r="W56" s="145"/>
      <c r="X56" s="145"/>
    </row>
    <row r="57" spans="2:24" s="7" customFormat="1" x14ac:dyDescent="0.2">
      <c r="B57" s="21" t="s">
        <v>19</v>
      </c>
      <c r="C57" s="14"/>
      <c r="D57" s="15"/>
      <c r="E57" s="145"/>
      <c r="F57" s="145"/>
      <c r="G57" s="145"/>
      <c r="H57" s="145"/>
      <c r="I57" s="145"/>
      <c r="J57" s="145"/>
      <c r="K57" s="145"/>
      <c r="L57" s="145"/>
      <c r="M57" s="145"/>
      <c r="N57" s="145"/>
      <c r="O57" s="145"/>
      <c r="P57" s="145"/>
      <c r="Q57" s="145"/>
      <c r="R57" s="145"/>
      <c r="S57" s="145"/>
      <c r="T57" s="145"/>
      <c r="U57" s="145"/>
      <c r="W57" s="145"/>
      <c r="X57" s="145"/>
    </row>
    <row r="58" spans="2:24" s="7" customFormat="1" x14ac:dyDescent="0.2">
      <c r="B58" s="13" t="s">
        <v>292</v>
      </c>
      <c r="C58" s="14"/>
      <c r="D58" s="14">
        <f t="shared" ref="D58:T58" si="33">+D16-D48-D51</f>
        <v>20288.8</v>
      </c>
      <c r="E58" s="14">
        <f t="shared" si="33"/>
        <v>24289.599999999999</v>
      </c>
      <c r="F58" s="14">
        <f t="shared" si="33"/>
        <v>26544</v>
      </c>
      <c r="G58" s="14">
        <f t="shared" si="33"/>
        <v>37829.599999999999</v>
      </c>
      <c r="H58" s="14">
        <f t="shared" si="33"/>
        <v>26744</v>
      </c>
      <c r="I58" s="14">
        <f t="shared" si="33"/>
        <v>42200</v>
      </c>
      <c r="J58" s="14">
        <f>+J16-J48-J51</f>
        <v>55244.383270903527</v>
      </c>
      <c r="K58" s="14">
        <f t="shared" si="33"/>
        <v>62287.045269803712</v>
      </c>
      <c r="L58" s="14">
        <f t="shared" si="33"/>
        <v>70536.440041699418</v>
      </c>
      <c r="M58" s="14">
        <f t="shared" si="33"/>
        <v>79136.494890909162</v>
      </c>
      <c r="N58" s="14">
        <f t="shared" si="33"/>
        <v>88109.159465201752</v>
      </c>
      <c r="O58" s="14">
        <f t="shared" si="33"/>
        <v>97477.679388897086</v>
      </c>
      <c r="P58" s="14">
        <f t="shared" si="33"/>
        <v>107266.67430143275</v>
      </c>
      <c r="Q58" s="14">
        <f t="shared" si="33"/>
        <v>117502.22056564185</v>
      </c>
      <c r="R58" s="14">
        <f t="shared" si="33"/>
        <v>128211.93892582587</v>
      </c>
      <c r="S58" s="14">
        <f t="shared" si="33"/>
        <v>139425.08741249741</v>
      </c>
      <c r="T58" s="14">
        <f t="shared" si="33"/>
        <v>149572.65980846251</v>
      </c>
      <c r="U58" s="14">
        <f>+U16-U48-U51</f>
        <v>160287.49000977696</v>
      </c>
      <c r="W58" s="14">
        <f>+W16-W48-W51</f>
        <v>57465.665464129335</v>
      </c>
      <c r="X58" s="14">
        <f>+X16-X48-X51</f>
        <v>64859.542824025084</v>
      </c>
    </row>
    <row r="59" spans="2:24" s="7" customFormat="1" x14ac:dyDescent="0.2">
      <c r="B59" s="16" t="s">
        <v>17</v>
      </c>
      <c r="C59" s="14"/>
      <c r="D59" s="15"/>
      <c r="E59" s="145">
        <f t="shared" ref="E59:U59" si="34">+E58/D58-1</f>
        <v>0.19719253972635142</v>
      </c>
      <c r="F59" s="145">
        <f t="shared" si="34"/>
        <v>9.2813385152493266E-2</v>
      </c>
      <c r="G59" s="145">
        <f t="shared" si="34"/>
        <v>0.42516576250753468</v>
      </c>
      <c r="H59" s="145">
        <f t="shared" si="34"/>
        <v>-0.29304037050352105</v>
      </c>
      <c r="I59" s="145">
        <f t="shared" si="34"/>
        <v>0.57792402034101098</v>
      </c>
      <c r="J59" s="145">
        <f t="shared" si="34"/>
        <v>0.30910860831524944</v>
      </c>
      <c r="K59" s="145">
        <f t="shared" si="34"/>
        <v>0.12748195530330886</v>
      </c>
      <c r="L59" s="145">
        <f t="shared" si="34"/>
        <v>0.13244158132983319</v>
      </c>
      <c r="M59" s="145">
        <f t="shared" si="34"/>
        <v>0.1219235737460751</v>
      </c>
      <c r="N59" s="145">
        <f t="shared" si="34"/>
        <v>0.11338213281573228</v>
      </c>
      <c r="O59" s="145">
        <f t="shared" si="34"/>
        <v>0.10632855858073853</v>
      </c>
      <c r="P59" s="145">
        <f t="shared" si="34"/>
        <v>0.10042293757816578</v>
      </c>
      <c r="Q59" s="145">
        <f t="shared" si="34"/>
        <v>9.5421493496162135E-2</v>
      </c>
      <c r="R59" s="145">
        <f t="shared" si="34"/>
        <v>9.1144816741578927E-2</v>
      </c>
      <c r="S59" s="145">
        <f t="shared" si="34"/>
        <v>8.745791211502274E-2</v>
      </c>
      <c r="T59" s="145">
        <f t="shared" si="34"/>
        <v>7.2781538705031679E-2</v>
      </c>
      <c r="U59" s="145">
        <f t="shared" si="34"/>
        <v>7.1636288443593044E-2</v>
      </c>
      <c r="W59" s="145">
        <f>+W58/I58-1</f>
        <v>0.36174562711206959</v>
      </c>
      <c r="X59" s="145">
        <f>+X58/W58-1</f>
        <v>0.12866600082289281</v>
      </c>
    </row>
    <row r="60" spans="2:24" s="7" customFormat="1" x14ac:dyDescent="0.2">
      <c r="B60" s="18"/>
      <c r="C60" s="14"/>
      <c r="D60" s="19"/>
      <c r="E60" s="19"/>
      <c r="F60" s="19"/>
      <c r="G60" s="19"/>
      <c r="H60" s="19"/>
      <c r="I60" s="19"/>
      <c r="J60" s="19"/>
      <c r="K60" s="19"/>
      <c r="L60" s="19"/>
      <c r="M60" s="19"/>
      <c r="N60" s="19"/>
    </row>
    <row r="61" spans="2:24" x14ac:dyDescent="0.2">
      <c r="B61" s="23" t="s">
        <v>31</v>
      </c>
      <c r="C61" s="12"/>
      <c r="D61" s="159">
        <f>+'Historical Financials'!CB103</f>
        <v>4153</v>
      </c>
      <c r="E61" s="159">
        <f>+'Historical Financials'!CC103</f>
        <v>4835</v>
      </c>
      <c r="F61" s="159">
        <f>+'Historical Financials'!CD103</f>
        <v>6536</v>
      </c>
      <c r="G61" s="159">
        <f>+'Historical Financials'!CE103</f>
        <v>9163</v>
      </c>
      <c r="H61" s="159">
        <f>+'Historical Financials'!CF103</f>
        <v>11991</v>
      </c>
      <c r="I61" s="159">
        <f>+'Historical Financials'!CG103</f>
        <v>14027</v>
      </c>
      <c r="J61" s="159">
        <f>+'Historical Financials'!CH103</f>
        <v>12428</v>
      </c>
      <c r="K61" s="27">
        <v>0</v>
      </c>
      <c r="L61" s="27">
        <v>0</v>
      </c>
      <c r="M61" s="27">
        <v>0</v>
      </c>
      <c r="N61" s="27">
        <v>0</v>
      </c>
      <c r="O61" s="27">
        <v>0</v>
      </c>
      <c r="P61" s="27">
        <v>0</v>
      </c>
      <c r="Q61" s="27">
        <v>0</v>
      </c>
      <c r="R61" s="27">
        <v>0</v>
      </c>
      <c r="S61" s="27">
        <v>0</v>
      </c>
      <c r="T61" s="27">
        <v>0</v>
      </c>
      <c r="U61" s="27">
        <v>0</v>
      </c>
    </row>
    <row r="62" spans="2:24" x14ac:dyDescent="0.2">
      <c r="B62" s="23" t="s">
        <v>305</v>
      </c>
      <c r="C62" s="12"/>
      <c r="D62" s="159">
        <f>+'Historical Financials'!CB104</f>
        <v>1310.2000000000003</v>
      </c>
      <c r="E62" s="159">
        <f>+'Historical Financials'!CC104</f>
        <v>890.40000000000055</v>
      </c>
      <c r="F62" s="159">
        <f>'Historical Financials'!CD104</f>
        <v>2407</v>
      </c>
      <c r="G62" s="159">
        <f>'Historical Financials'!CE104</f>
        <v>932.40000000000055</v>
      </c>
      <c r="H62" s="159">
        <f>'Historical Financials'!CF104</f>
        <v>279.00000000000023</v>
      </c>
      <c r="I62" s="159">
        <f>'Historical Financials'!CG104</f>
        <v>3943.0000000000005</v>
      </c>
      <c r="J62" s="159">
        <f>'Historical Financials'!CH104</f>
        <v>1425.4000000000005</v>
      </c>
      <c r="K62" s="27">
        <v>0</v>
      </c>
      <c r="L62" s="27">
        <v>0</v>
      </c>
      <c r="M62" s="27">
        <v>0</v>
      </c>
      <c r="N62" s="27">
        <v>0</v>
      </c>
      <c r="O62" s="27">
        <v>0</v>
      </c>
      <c r="P62" s="27">
        <v>0</v>
      </c>
      <c r="Q62" s="27">
        <v>0</v>
      </c>
      <c r="R62" s="27">
        <v>0</v>
      </c>
      <c r="S62" s="27">
        <v>0</v>
      </c>
      <c r="T62" s="27">
        <v>0</v>
      </c>
      <c r="U62" s="27">
        <v>0</v>
      </c>
    </row>
    <row r="63" spans="2:24" ht="13.5" x14ac:dyDescent="0.35">
      <c r="B63" s="23" t="s">
        <v>33</v>
      </c>
      <c r="C63" s="12"/>
      <c r="D63" s="25">
        <f t="shared" ref="D63:I63" si="35">D64-D54-SUM(D61:D62)</f>
        <v>-792</v>
      </c>
      <c r="E63" s="25">
        <f t="shared" si="35"/>
        <v>557.00000000000091</v>
      </c>
      <c r="F63" s="25">
        <f t="shared" si="35"/>
        <v>-3602</v>
      </c>
      <c r="G63" s="25">
        <f t="shared" si="35"/>
        <v>1792</v>
      </c>
      <c r="H63" s="25">
        <f t="shared" si="35"/>
        <v>2775</v>
      </c>
      <c r="I63" s="25">
        <f t="shared" si="35"/>
        <v>-234</v>
      </c>
      <c r="J63" s="25">
        <f>J64-J54-SUM(J61:J62)</f>
        <v>-557.00000000000728</v>
      </c>
      <c r="K63" s="28">
        <v>0</v>
      </c>
      <c r="L63" s="28">
        <v>0</v>
      </c>
      <c r="M63" s="28">
        <v>0</v>
      </c>
      <c r="N63" s="28">
        <v>0</v>
      </c>
      <c r="O63" s="28">
        <v>0</v>
      </c>
      <c r="P63" s="28">
        <v>0</v>
      </c>
      <c r="Q63" s="28">
        <v>0</v>
      </c>
      <c r="R63" s="28">
        <v>0</v>
      </c>
      <c r="S63" s="28">
        <v>0</v>
      </c>
      <c r="T63" s="28">
        <v>0</v>
      </c>
      <c r="U63" s="28">
        <v>0</v>
      </c>
    </row>
    <row r="64" spans="2:24" s="1" customFormat="1" x14ac:dyDescent="0.2">
      <c r="B64" s="149" t="s">
        <v>34</v>
      </c>
      <c r="C64" s="151"/>
      <c r="D64" s="153">
        <f>+'Historical Financials'!CB106</f>
        <v>15361</v>
      </c>
      <c r="E64" s="153">
        <f>+'Historical Financials'!CC106</f>
        <v>20659</v>
      </c>
      <c r="F64" s="153">
        <f>+'Historical Financials'!CD106</f>
        <v>23029</v>
      </c>
      <c r="G64" s="153">
        <f>+'Historical Financials'!CE106</f>
        <v>38439</v>
      </c>
      <c r="H64" s="153">
        <f>+'Historical Financials'!CF106</f>
        <v>18439</v>
      </c>
      <c r="I64" s="153">
        <f>+'Historical Financials'!CG106</f>
        <v>43010</v>
      </c>
      <c r="J64" s="153">
        <f>+'Historical Financials'!CH106</f>
        <v>46002.092279885008</v>
      </c>
      <c r="K64" s="151">
        <f t="shared" ref="K64:R64" si="36">+K54+SUM(K61:K63)</f>
        <v>36852.830467078275</v>
      </c>
      <c r="L64" s="151">
        <f t="shared" si="36"/>
        <v>46274.273029498901</v>
      </c>
      <c r="M64" s="151">
        <f t="shared" si="36"/>
        <v>56679.655459153917</v>
      </c>
      <c r="N64" s="151">
        <f t="shared" si="36"/>
        <v>67902.968059655977</v>
      </c>
      <c r="O64" s="151">
        <f t="shared" si="36"/>
        <v>77420.506892106205</v>
      </c>
      <c r="P64" s="151">
        <f t="shared" si="36"/>
        <v>87290.585956475596</v>
      </c>
      <c r="Q64" s="151">
        <f t="shared" si="36"/>
        <v>96626.235084285319</v>
      </c>
      <c r="R64" s="151">
        <f t="shared" si="36"/>
        <v>105809.32501854168</v>
      </c>
      <c r="S64" s="151">
        <f>+S54+SUM(S61:S63)</f>
        <v>115432.69311683564</v>
      </c>
      <c r="T64" s="151">
        <f>+T54+SUM(T61:T63)</f>
        <v>124482.58171402401</v>
      </c>
      <c r="U64" s="151">
        <f>+U54+SUM(U61:U63)</f>
        <v>134224.18514713884</v>
      </c>
      <c r="W64" s="248">
        <f>_xll.ciqfunctions.udf.CIQ($B$2, "IQ_CASH_OPER_EST", "FY2024")-W41</f>
        <v>48672.684799999995</v>
      </c>
      <c r="X64" s="248">
        <f>_xll.ciqfunctions.udf.CIQ($B$2, "IQ_CASH_OPER_EST", "FY2025")-X41</f>
        <v>34289.934029999989</v>
      </c>
    </row>
    <row r="65" spans="2:33" x14ac:dyDescent="0.2">
      <c r="C65" s="12"/>
      <c r="D65" s="12"/>
      <c r="E65" s="12"/>
      <c r="F65" s="12"/>
      <c r="G65" s="12"/>
      <c r="H65" s="12"/>
      <c r="I65" s="12"/>
      <c r="J65" s="12"/>
      <c r="K65" s="12"/>
      <c r="L65" s="12"/>
      <c r="M65" s="12"/>
      <c r="N65" s="12"/>
    </row>
    <row r="66" spans="2:33" outlineLevel="1" x14ac:dyDescent="0.2">
      <c r="B66" s="23" t="s">
        <v>35</v>
      </c>
      <c r="C66" s="30"/>
      <c r="D66" s="165">
        <f>+'Historical Financials'!CB117</f>
        <v>0</v>
      </c>
      <c r="E66" s="165">
        <f>+'Historical Financials'!CC117</f>
        <v>0</v>
      </c>
      <c r="F66" s="165">
        <f>+'Historical Financials'!CD117</f>
        <v>0</v>
      </c>
      <c r="G66" s="165">
        <f>+'Historical Financials'!CE117</f>
        <v>0</v>
      </c>
      <c r="H66" s="165">
        <f>+'Historical Financials'!CF117</f>
        <v>9923</v>
      </c>
      <c r="I66" s="165">
        <f>+'Historical Financials'!CG117</f>
        <v>18385</v>
      </c>
      <c r="J66" s="165">
        <f>+'Historical Financials'!CH117</f>
        <v>28823</v>
      </c>
      <c r="K66" s="12">
        <f t="shared" ref="K66:Q66" si="37">+K68+K67</f>
        <v>0</v>
      </c>
      <c r="L66" s="12">
        <f t="shared" si="37"/>
        <v>0</v>
      </c>
      <c r="M66" s="12">
        <f t="shared" si="37"/>
        <v>0</v>
      </c>
      <c r="N66" s="12">
        <f t="shared" si="37"/>
        <v>0</v>
      </c>
      <c r="O66" s="12">
        <f t="shared" si="37"/>
        <v>0</v>
      </c>
      <c r="P66" s="12">
        <f t="shared" si="37"/>
        <v>0</v>
      </c>
      <c r="Q66" s="12">
        <f t="shared" si="37"/>
        <v>0</v>
      </c>
      <c r="R66" s="12">
        <f>+R68+R67</f>
        <v>0</v>
      </c>
      <c r="S66" s="12">
        <f>+S68+S67</f>
        <v>0</v>
      </c>
      <c r="T66" s="12">
        <f>+T68+T67</f>
        <v>0</v>
      </c>
      <c r="U66" s="12">
        <f>+U68+U67</f>
        <v>0</v>
      </c>
    </row>
    <row r="67" spans="2:33" ht="13.5" outlineLevel="1" x14ac:dyDescent="0.35">
      <c r="B67" s="2" t="s">
        <v>36</v>
      </c>
      <c r="C67" s="30"/>
      <c r="D67" s="166">
        <f>+'Historical Financials'!CB118</f>
        <v>41114</v>
      </c>
      <c r="E67" s="166">
        <f>+'Historical Financials'!CC118</f>
        <v>54855</v>
      </c>
      <c r="F67" s="166">
        <f>+'Historical Financials'!CD118</f>
        <v>61954</v>
      </c>
      <c r="G67" s="166">
        <f>+'Historical Financials'!CE118</f>
        <v>47998</v>
      </c>
      <c r="H67" s="166">
        <f>+'Historical Financials'!CF118</f>
        <v>40738</v>
      </c>
      <c r="I67" s="166">
        <f>+'Historical Financials'!CG118</f>
        <v>65403</v>
      </c>
      <c r="J67" s="166">
        <f>+'Historical Financials'!CH118</f>
        <v>77951.092279885008</v>
      </c>
      <c r="K67" s="31">
        <v>0</v>
      </c>
      <c r="L67" s="31">
        <f t="shared" ref="L67:U67" si="38">+K67*1.03</f>
        <v>0</v>
      </c>
      <c r="M67" s="31">
        <f t="shared" si="38"/>
        <v>0</v>
      </c>
      <c r="N67" s="31">
        <f t="shared" si="38"/>
        <v>0</v>
      </c>
      <c r="O67" s="31">
        <f t="shared" si="38"/>
        <v>0</v>
      </c>
      <c r="P67" s="31">
        <f t="shared" si="38"/>
        <v>0</v>
      </c>
      <c r="Q67" s="31">
        <f t="shared" si="38"/>
        <v>0</v>
      </c>
      <c r="R67" s="31">
        <f t="shared" si="38"/>
        <v>0</v>
      </c>
      <c r="S67" s="31">
        <f t="shared" si="38"/>
        <v>0</v>
      </c>
      <c r="T67" s="31">
        <f t="shared" si="38"/>
        <v>0</v>
      </c>
      <c r="U67" s="31">
        <f t="shared" si="38"/>
        <v>0</v>
      </c>
    </row>
    <row r="68" spans="2:33" x14ac:dyDescent="0.2">
      <c r="B68" s="24" t="s">
        <v>37</v>
      </c>
      <c r="C68" s="30">
        <f t="shared" ref="C68:I68" si="39">+C66-C67</f>
        <v>0</v>
      </c>
      <c r="D68" s="26">
        <f t="shared" si="39"/>
        <v>-41114</v>
      </c>
      <c r="E68" s="26">
        <f t="shared" si="39"/>
        <v>-54855</v>
      </c>
      <c r="F68" s="26">
        <f t="shared" si="39"/>
        <v>-61954</v>
      </c>
      <c r="G68" s="26">
        <f t="shared" si="39"/>
        <v>-47998</v>
      </c>
      <c r="H68" s="26">
        <f t="shared" si="39"/>
        <v>-30815</v>
      </c>
      <c r="I68" s="26">
        <f t="shared" si="39"/>
        <v>-47018</v>
      </c>
      <c r="J68" s="26">
        <f>+J66-J67</f>
        <v>-49128.092279885008</v>
      </c>
      <c r="K68" s="12">
        <f t="shared" ref="K68:T68" si="40">K69*K30</f>
        <v>0</v>
      </c>
      <c r="L68" s="12">
        <f t="shared" si="40"/>
        <v>0</v>
      </c>
      <c r="M68" s="12">
        <f t="shared" si="40"/>
        <v>0</v>
      </c>
      <c r="N68" s="12">
        <f t="shared" si="40"/>
        <v>0</v>
      </c>
      <c r="O68" s="12">
        <f t="shared" si="40"/>
        <v>0</v>
      </c>
      <c r="P68" s="12">
        <f t="shared" si="40"/>
        <v>0</v>
      </c>
      <c r="Q68" s="12">
        <f t="shared" si="40"/>
        <v>0</v>
      </c>
      <c r="R68" s="12">
        <f t="shared" si="40"/>
        <v>0</v>
      </c>
      <c r="S68" s="12">
        <f t="shared" si="40"/>
        <v>0</v>
      </c>
      <c r="T68" s="12">
        <f t="shared" si="40"/>
        <v>0</v>
      </c>
      <c r="U68" s="12">
        <f>U69*U30</f>
        <v>0</v>
      </c>
      <c r="W68" s="250">
        <f>_xll.ciqfunctions.udf.CIQ($B$2, "IQ_NET_DEBT_EST", "FY2024")</f>
        <v>-49107.12758</v>
      </c>
      <c r="X68" s="250">
        <f>_xll.ciqfunctions.udf.CIQ($B$2, "IQ_NET_DEBT_EST", "FY2025")</f>
        <v>-57015.090779999999</v>
      </c>
    </row>
    <row r="69" spans="2:33" s="7" customFormat="1" x14ac:dyDescent="0.2">
      <c r="B69" s="98" t="s">
        <v>38</v>
      </c>
      <c r="C69" s="14"/>
      <c r="D69" s="32" t="str">
        <f t="shared" ref="D69:I69" si="41">IF(OR(D68&lt;0,D30&lt;0),"n/m",D68/D30)</f>
        <v>n/m</v>
      </c>
      <c r="E69" s="32" t="str">
        <f t="shared" si="41"/>
        <v>n/m</v>
      </c>
      <c r="F69" s="32" t="str">
        <f t="shared" si="41"/>
        <v>n/m</v>
      </c>
      <c r="G69" s="32" t="str">
        <f t="shared" si="41"/>
        <v>n/m</v>
      </c>
      <c r="H69" s="32" t="str">
        <f t="shared" si="41"/>
        <v>n/m</v>
      </c>
      <c r="I69" s="32" t="str">
        <f t="shared" si="41"/>
        <v>n/m</v>
      </c>
      <c r="J69" s="32" t="str">
        <f>IF(OR(J68&lt;0,J30&lt;0),"n/m",J68/J30)</f>
        <v>n/m</v>
      </c>
      <c r="K69" s="33">
        <v>0</v>
      </c>
      <c r="L69" s="34">
        <f t="shared" ref="L69:U69" si="42">K69</f>
        <v>0</v>
      </c>
      <c r="M69" s="34">
        <f t="shared" si="42"/>
        <v>0</v>
      </c>
      <c r="N69" s="34">
        <f t="shared" si="42"/>
        <v>0</v>
      </c>
      <c r="O69" s="34">
        <f t="shared" si="42"/>
        <v>0</v>
      </c>
      <c r="P69" s="34">
        <f t="shared" si="42"/>
        <v>0</v>
      </c>
      <c r="Q69" s="34">
        <f t="shared" si="42"/>
        <v>0</v>
      </c>
      <c r="R69" s="34">
        <f t="shared" si="42"/>
        <v>0</v>
      </c>
      <c r="S69" s="34">
        <f t="shared" si="42"/>
        <v>0</v>
      </c>
      <c r="T69" s="34">
        <f t="shared" si="42"/>
        <v>0</v>
      </c>
      <c r="U69" s="34">
        <f t="shared" si="42"/>
        <v>0</v>
      </c>
    </row>
    <row r="70" spans="2:33" x14ac:dyDescent="0.2">
      <c r="C70" s="12"/>
      <c r="D70" s="12"/>
      <c r="E70" s="12"/>
      <c r="F70" s="12"/>
      <c r="G70" s="12"/>
      <c r="H70" s="12"/>
      <c r="I70" s="12"/>
      <c r="J70" s="12"/>
      <c r="K70" s="12"/>
      <c r="L70" s="12"/>
      <c r="M70" s="12"/>
      <c r="N70" s="12"/>
    </row>
    <row r="71" spans="2:33" x14ac:dyDescent="0.2">
      <c r="B71" s="2" t="s">
        <v>39</v>
      </c>
      <c r="C71" s="12"/>
      <c r="D71" s="12"/>
      <c r="E71" s="12"/>
      <c r="F71" s="12"/>
      <c r="G71" s="12"/>
      <c r="H71" s="12"/>
      <c r="I71" s="12"/>
      <c r="J71" s="12"/>
      <c r="K71" s="12">
        <f t="shared" ref="K71:U71" si="43">K64+(K68-J68)</f>
        <v>85980.922746963275</v>
      </c>
      <c r="L71" s="12">
        <f t="shared" si="43"/>
        <v>46274.273029498901</v>
      </c>
      <c r="M71" s="12">
        <f t="shared" si="43"/>
        <v>56679.655459153917</v>
      </c>
      <c r="N71" s="12">
        <f t="shared" si="43"/>
        <v>67902.968059655977</v>
      </c>
      <c r="O71" s="12">
        <f t="shared" si="43"/>
        <v>77420.506892106205</v>
      </c>
      <c r="P71" s="12">
        <f t="shared" si="43"/>
        <v>87290.585956475596</v>
      </c>
      <c r="Q71" s="12">
        <f t="shared" si="43"/>
        <v>96626.235084285319</v>
      </c>
      <c r="R71" s="12">
        <f t="shared" si="43"/>
        <v>105809.32501854168</v>
      </c>
      <c r="S71" s="12">
        <f t="shared" si="43"/>
        <v>115432.69311683564</v>
      </c>
      <c r="T71" s="12">
        <f t="shared" si="43"/>
        <v>124482.58171402401</v>
      </c>
      <c r="U71" s="12">
        <f t="shared" si="43"/>
        <v>134224.18514713884</v>
      </c>
      <c r="W71" s="12">
        <f>W64+(W68-I68)</f>
        <v>46583.557219999995</v>
      </c>
      <c r="X71" s="12">
        <f>X64+(X68-W68)</f>
        <v>26381.970829999991</v>
      </c>
    </row>
    <row r="72" spans="2:33" x14ac:dyDescent="0.2">
      <c r="C72" s="12"/>
      <c r="D72" s="12"/>
      <c r="E72" s="12"/>
      <c r="F72" s="12"/>
      <c r="G72" s="12"/>
      <c r="H72" s="12"/>
      <c r="I72" s="12"/>
      <c r="J72" s="12"/>
      <c r="K72" s="12"/>
      <c r="L72" s="12"/>
      <c r="M72" s="12"/>
      <c r="N72" s="12"/>
    </row>
    <row r="73" spans="2:33" x14ac:dyDescent="0.2">
      <c r="B73" s="2" t="s">
        <v>40</v>
      </c>
      <c r="C73" s="12"/>
      <c r="D73" s="12"/>
      <c r="E73" s="12"/>
      <c r="F73" s="12"/>
      <c r="G73" s="12"/>
      <c r="H73" s="12"/>
      <c r="I73" s="12"/>
      <c r="J73" s="12"/>
      <c r="K73" s="12">
        <f t="shared" ref="K73:U73" si="44">J73+K71</f>
        <v>85980.922746963275</v>
      </c>
      <c r="L73" s="12">
        <f t="shared" si="44"/>
        <v>132255.19577646218</v>
      </c>
      <c r="M73" s="12">
        <f t="shared" si="44"/>
        <v>188934.85123561608</v>
      </c>
      <c r="N73" s="12">
        <f t="shared" si="44"/>
        <v>256837.81929527206</v>
      </c>
      <c r="O73" s="12">
        <f t="shared" si="44"/>
        <v>334258.32618737826</v>
      </c>
      <c r="P73" s="12">
        <f t="shared" si="44"/>
        <v>421548.91214385384</v>
      </c>
      <c r="Q73" s="12">
        <f t="shared" si="44"/>
        <v>518175.14722813916</v>
      </c>
      <c r="R73" s="12">
        <f t="shared" si="44"/>
        <v>623984.47224668087</v>
      </c>
      <c r="S73" s="12">
        <f t="shared" si="44"/>
        <v>739417.16536351654</v>
      </c>
      <c r="T73" s="12">
        <f t="shared" si="44"/>
        <v>863899.74707754049</v>
      </c>
      <c r="U73" s="12">
        <f t="shared" si="44"/>
        <v>998123.93222467927</v>
      </c>
      <c r="W73" s="12">
        <f>V73+W71</f>
        <v>46583.557219999995</v>
      </c>
      <c r="X73" s="12">
        <f>W73+X71</f>
        <v>72965.528049999994</v>
      </c>
    </row>
    <row r="74" spans="2:33" s="7" customFormat="1" x14ac:dyDescent="0.2">
      <c r="B74" s="13" t="s">
        <v>41</v>
      </c>
      <c r="C74" s="14"/>
      <c r="D74" s="19"/>
      <c r="E74" s="19"/>
      <c r="F74" s="19"/>
      <c r="G74" s="19"/>
      <c r="H74" s="19"/>
      <c r="I74" s="19"/>
      <c r="J74" s="19"/>
      <c r="K74" s="19">
        <f t="shared" ref="K74:T74" si="45">K73/$D$94</f>
        <v>5.6479967330889225E-2</v>
      </c>
      <c r="L74" s="19">
        <f t="shared" si="45"/>
        <v>8.6877052468697355E-2</v>
      </c>
      <c r="M74" s="19">
        <f t="shared" si="45"/>
        <v>0.1241093243074191</v>
      </c>
      <c r="N74" s="19">
        <f t="shared" si="45"/>
        <v>0.16871407260683458</v>
      </c>
      <c r="O74" s="35">
        <f t="shared" si="45"/>
        <v>0.21957079245009167</v>
      </c>
      <c r="P74" s="19">
        <f t="shared" si="45"/>
        <v>0.27691106382197628</v>
      </c>
      <c r="Q74" s="19">
        <f t="shared" si="45"/>
        <v>0.34038382529638145</v>
      </c>
      <c r="R74" s="19">
        <f t="shared" si="45"/>
        <v>0.40988886233742372</v>
      </c>
      <c r="S74" s="19">
        <f t="shared" si="45"/>
        <v>0.48571538905826778</v>
      </c>
      <c r="T74" s="19">
        <f t="shared" si="45"/>
        <v>0.56748669278297847</v>
      </c>
      <c r="U74" s="19">
        <f>U73/$D$94</f>
        <v>0.65565715374018396</v>
      </c>
    </row>
    <row r="75" spans="2:33" x14ac:dyDescent="0.2">
      <c r="C75" s="12"/>
      <c r="D75" s="12"/>
      <c r="E75" s="12"/>
      <c r="F75" s="12"/>
      <c r="G75" s="12"/>
      <c r="H75" s="12"/>
      <c r="I75" s="12"/>
      <c r="J75" s="12"/>
      <c r="K75" s="12"/>
      <c r="L75" s="12"/>
      <c r="M75" s="12"/>
      <c r="N75" s="12"/>
    </row>
    <row r="76" spans="2:33" x14ac:dyDescent="0.2">
      <c r="B76" s="36" t="s">
        <v>42</v>
      </c>
      <c r="C76" s="12"/>
      <c r="D76" s="12"/>
      <c r="E76" s="12"/>
      <c r="F76" s="12"/>
      <c r="G76" s="12"/>
      <c r="H76" s="12"/>
      <c r="I76" s="12"/>
      <c r="J76" s="12"/>
      <c r="K76" s="12"/>
      <c r="L76" s="12"/>
      <c r="M76" s="12"/>
      <c r="N76" s="12"/>
    </row>
    <row r="77" spans="2:33" x14ac:dyDescent="0.2">
      <c r="B77" s="23" t="s">
        <v>43</v>
      </c>
      <c r="C77" s="12"/>
      <c r="D77" s="37">
        <f>+$D$96/D8</f>
        <v>26.509706651384363</v>
      </c>
      <c r="E77" s="37">
        <f>+$D$96/E8</f>
        <v>20.937932302643677</v>
      </c>
      <c r="F77" s="37">
        <f>+$D$96/F8</f>
        <v>17.219005188097618</v>
      </c>
      <c r="G77" s="37">
        <f>+$D$96/G8</f>
        <v>12.552035546812064</v>
      </c>
      <c r="H77" s="37">
        <f>+$D$96/H8</f>
        <v>12.694123095129878</v>
      </c>
      <c r="I77" s="37">
        <f>+($D$94+I$68)/I8</f>
        <v>10.936227307432858</v>
      </c>
      <c r="J77" s="37">
        <f>+($D$94+J$68)/J8</f>
        <v>9.0401600305072485</v>
      </c>
      <c r="K77" s="37">
        <f t="shared" ref="K77:U77" si="46">+($D$94-K73+K68)/K8</f>
        <v>8.0350411074061121</v>
      </c>
      <c r="L77" s="37">
        <f t="shared" si="46"/>
        <v>7.1145715868649937</v>
      </c>
      <c r="M77" s="37">
        <f t="shared" si="46"/>
        <v>6.2634703571178498</v>
      </c>
      <c r="N77" s="37">
        <f t="shared" si="46"/>
        <v>5.4708334963713199</v>
      </c>
      <c r="O77" s="37">
        <f t="shared" si="46"/>
        <v>4.7383073622362195</v>
      </c>
      <c r="P77" s="37">
        <f t="shared" si="46"/>
        <v>4.0587746831094593</v>
      </c>
      <c r="Q77" s="37">
        <f t="shared" si="46"/>
        <v>3.4294994595158843</v>
      </c>
      <c r="R77" s="37">
        <f t="shared" si="46"/>
        <v>2.8467052250332716</v>
      </c>
      <c r="S77" s="37">
        <f t="shared" si="46"/>
        <v>2.3053496499150463</v>
      </c>
      <c r="T77" s="37">
        <f t="shared" si="46"/>
        <v>1.8040351748115162</v>
      </c>
      <c r="U77" s="37">
        <f t="shared" si="46"/>
        <v>1.338065121642273</v>
      </c>
      <c r="W77" s="37">
        <f>+($D$94-W73+W68)/W8</f>
        <v>8.7527982295750171</v>
      </c>
      <c r="X77" s="37">
        <f>+($D$94-X73+X68)/X8</f>
        <v>7.4445680899510815</v>
      </c>
    </row>
    <row r="78" spans="2:33" x14ac:dyDescent="0.2">
      <c r="B78" s="23" t="s">
        <v>44</v>
      </c>
      <c r="C78" s="12"/>
      <c r="D78" s="37">
        <f>+$D$96/D30</f>
        <v>50.644895305871081</v>
      </c>
      <c r="E78" s="37">
        <f>+$D$96/E30</f>
        <v>41.960739291889901</v>
      </c>
      <c r="F78" s="37">
        <f>+$D$96/F30</f>
        <v>37.443376419699995</v>
      </c>
      <c r="G78" s="37">
        <f>+$D$96/G30</f>
        <v>27.051828432537146</v>
      </c>
      <c r="H78" s="37">
        <f>+$D$96/H30</f>
        <v>35.042114483215755</v>
      </c>
      <c r="I78" s="37">
        <f>+($D$94+I$68)/I30</f>
        <v>23.325027667984191</v>
      </c>
      <c r="J78" s="37">
        <f>+($D$94+J$68)/J30</f>
        <v>17.665245610303273</v>
      </c>
      <c r="K78" s="37">
        <f t="shared" ref="K78:T78" si="47">+($D$94-K73+K68)/K30</f>
        <v>14.790203319269249</v>
      </c>
      <c r="L78" s="37">
        <f t="shared" si="47"/>
        <v>12.545714018137549</v>
      </c>
      <c r="M78" s="37">
        <f t="shared" si="47"/>
        <v>10.630810511920199</v>
      </c>
      <c r="N78" s="37">
        <f t="shared" si="47"/>
        <v>8.9865879225190621</v>
      </c>
      <c r="O78" s="37">
        <f t="shared" si="47"/>
        <v>7.5696239949857711</v>
      </c>
      <c r="P78" s="37">
        <f t="shared" si="47"/>
        <v>6.3345589087949961</v>
      </c>
      <c r="Q78" s="37">
        <f t="shared" si="47"/>
        <v>5.273420516754836</v>
      </c>
      <c r="R78" s="37">
        <f t="shared" si="47"/>
        <v>4.3337796764875822</v>
      </c>
      <c r="S78" s="37">
        <f t="shared" si="47"/>
        <v>3.4795620499734294</v>
      </c>
      <c r="T78" s="37">
        <f t="shared" si="47"/>
        <v>2.7188589612362875</v>
      </c>
      <c r="U78" s="37">
        <f>+($D$94-U73+U68)/U30</f>
        <v>2.0124192166948873</v>
      </c>
      <c r="W78" s="37">
        <f>+($D$94-W73+W68)/W29</f>
        <v>95.563363518895201</v>
      </c>
      <c r="X78" s="37">
        <f>+($D$94-X73+X68)/X29</f>
        <v>71.505517144634567</v>
      </c>
    </row>
    <row r="79" spans="2:33" x14ac:dyDescent="0.2">
      <c r="B79" s="23" t="s">
        <v>314</v>
      </c>
      <c r="C79" s="12"/>
      <c r="D79" s="37">
        <f>+$D$96/D44</f>
        <v>96.659853728614337</v>
      </c>
      <c r="E79" s="37">
        <f>+$D$96/E44</f>
        <v>75.434388217907554</v>
      </c>
      <c r="F79" s="37">
        <f>+$D$96/F44</f>
        <v>62.156162082720975</v>
      </c>
      <c r="G79" s="37">
        <f>+$D$96/G44</f>
        <v>41.726539816772373</v>
      </c>
      <c r="H79" s="37">
        <f>+$D$96/H44</f>
        <v>145.03713501861651</v>
      </c>
      <c r="I79" s="37">
        <f>+($D$94+I$68)/I44</f>
        <v>41.975360628218624</v>
      </c>
      <c r="J79" s="37">
        <f>+($D$94+J$68)/J44</f>
        <v>32.434441792470885</v>
      </c>
      <c r="K79" s="37">
        <f t="shared" ref="K79:T79" si="48">+($D$94-K73+K68)/K44</f>
        <v>27.398307327915337</v>
      </c>
      <c r="L79" s="37">
        <f t="shared" si="48"/>
        <v>21.750993189033693</v>
      </c>
      <c r="M79" s="37">
        <f t="shared" si="48"/>
        <v>17.438206207316824</v>
      </c>
      <c r="N79" s="37">
        <f t="shared" si="48"/>
        <v>14.071884256649867</v>
      </c>
      <c r="O79" s="37">
        <f t="shared" si="48"/>
        <v>11.671760771133023</v>
      </c>
      <c r="P79" s="37">
        <f t="shared" si="48"/>
        <v>9.6468633162061561</v>
      </c>
      <c r="Q79" s="37">
        <f t="shared" si="48"/>
        <v>7.969337983001787</v>
      </c>
      <c r="R79" s="37">
        <f t="shared" si="48"/>
        <v>6.5162228123291044</v>
      </c>
      <c r="S79" s="37">
        <f t="shared" si="48"/>
        <v>5.2093567534580645</v>
      </c>
      <c r="T79" s="37">
        <f t="shared" si="48"/>
        <v>4.0674793258586766</v>
      </c>
      <c r="U79" s="37">
        <f>+($D$94-U73+U68)/U44</f>
        <v>3.0075382934318169</v>
      </c>
      <c r="W79" s="37">
        <f>($D$94-W73+W68)/W44</f>
        <v>33.647114163963678</v>
      </c>
      <c r="X79" s="37">
        <f>($D$94-X73+X68)/X44</f>
        <v>53.699949358776173</v>
      </c>
    </row>
    <row r="80" spans="2:33" x14ac:dyDescent="0.2">
      <c r="B80" s="23" t="s">
        <v>45</v>
      </c>
      <c r="C80" s="12"/>
      <c r="D80" s="37">
        <f>$D$94/D54</f>
        <v>142.4092125203465</v>
      </c>
      <c r="E80" s="37">
        <f>$D$94/E54</f>
        <v>105.88915320729519</v>
      </c>
      <c r="F80" s="37">
        <f>$D$94/F54</f>
        <v>86.065468113975584</v>
      </c>
      <c r="G80" s="37">
        <f>$D$94/G54</f>
        <v>57.334623902137729</v>
      </c>
      <c r="H80" s="37">
        <f>$D$94/H54</f>
        <v>448.53447259870359</v>
      </c>
      <c r="I80" s="37">
        <f t="shared" ref="I80:T80" si="49">($D$94-I$73)/I54</f>
        <v>60.232887552425417</v>
      </c>
      <c r="J80" s="37">
        <f>($D$94-J$73)/J54</f>
        <v>46.546209356231131</v>
      </c>
      <c r="K80" s="37">
        <f t="shared" si="49"/>
        <v>38.975163075633127</v>
      </c>
      <c r="L80" s="37">
        <f t="shared" si="49"/>
        <v>30.039819390299147</v>
      </c>
      <c r="M80" s="37">
        <f t="shared" si="49"/>
        <v>23.5250397689042</v>
      </c>
      <c r="N80" s="37">
        <f t="shared" si="49"/>
        <v>18.636713782421655</v>
      </c>
      <c r="O80" s="37">
        <f t="shared" si="49"/>
        <v>15.345645766286724</v>
      </c>
      <c r="P80" s="37">
        <f t="shared" si="49"/>
        <v>12.610490304246671</v>
      </c>
      <c r="Q80" s="37">
        <f t="shared" si="49"/>
        <v>10.392114024684478</v>
      </c>
      <c r="R80" s="37">
        <f t="shared" si="49"/>
        <v>8.490192405970804</v>
      </c>
      <c r="S80" s="37">
        <f t="shared" si="49"/>
        <v>6.7823838593461501</v>
      </c>
      <c r="T80" s="37">
        <f t="shared" si="49"/>
        <v>5.2893042854386936</v>
      </c>
      <c r="U80" s="37">
        <f>($D$94-U$73)/U54</f>
        <v>3.9054218671596441</v>
      </c>
      <c r="W80" s="37">
        <f>($D$94-W$73)/W54</f>
        <v>43.3805310862992</v>
      </c>
      <c r="X80" s="37">
        <f>($D$94-X$73)/X54</f>
        <v>83.194527735067439</v>
      </c>
      <c r="Y80" s="2">
        <f t="shared" ref="Y80:AG80" si="50">+$E$94/D80</f>
        <v>4.1114615384615387</v>
      </c>
      <c r="Z80" s="2">
        <f t="shared" si="50"/>
        <v>5.529461538461538</v>
      </c>
      <c r="AA80" s="2">
        <f t="shared" si="50"/>
        <v>6.8030769230769224</v>
      </c>
      <c r="AB80" s="2">
        <f t="shared" si="50"/>
        <v>10.212153846153845</v>
      </c>
      <c r="AC80" s="2">
        <f t="shared" si="50"/>
        <v>1.3053846153846154</v>
      </c>
      <c r="AD80" s="2">
        <f t="shared" si="50"/>
        <v>9.7207692307692302</v>
      </c>
      <c r="AE80" s="2">
        <f t="shared" si="50"/>
        <v>12.579112415340388</v>
      </c>
      <c r="AF80" s="2">
        <f t="shared" si="50"/>
        <v>15.022644006999803</v>
      </c>
      <c r="AG80" s="2">
        <f t="shared" si="50"/>
        <v>19.491129170672728</v>
      </c>
    </row>
    <row r="81" spans="2:27" x14ac:dyDescent="0.2">
      <c r="B81" s="23" t="s">
        <v>46</v>
      </c>
      <c r="C81" s="12"/>
      <c r="D81" s="37">
        <f>$D$94/D58</f>
        <v>75.032825992665906</v>
      </c>
      <c r="E81" s="37">
        <f>$D$94/E58</f>
        <v>62.673983927277519</v>
      </c>
      <c r="F81" s="37">
        <f>$D$94/F58</f>
        <v>57.351039783001809</v>
      </c>
      <c r="G81" s="37">
        <f>$D$94/G58</f>
        <v>40.241662613403264</v>
      </c>
      <c r="H81" s="37">
        <f>$D$94/H58</f>
        <v>56.922150762787915</v>
      </c>
      <c r="I81" s="37">
        <f t="shared" ref="I81:T81" si="51">($D$94-I$73)/I58</f>
        <v>36.074075829383887</v>
      </c>
      <c r="J81" s="37">
        <f>($D$94-J$73)/J58</f>
        <v>27.556213136364011</v>
      </c>
      <c r="K81" s="37">
        <f t="shared" si="51"/>
        <v>23.060093331307304</v>
      </c>
      <c r="L81" s="37">
        <f t="shared" si="51"/>
        <v>19.70713015005807</v>
      </c>
      <c r="M81" s="37">
        <f t="shared" si="51"/>
        <v>16.849257104481108</v>
      </c>
      <c r="N81" s="37">
        <f t="shared" si="51"/>
        <v>14.362731279992813</v>
      </c>
      <c r="O81" s="37">
        <f t="shared" si="51"/>
        <v>12.188099688675448</v>
      </c>
      <c r="P81" s="37">
        <f t="shared" si="51"/>
        <v>10.262060374528113</v>
      </c>
      <c r="Q81" s="37">
        <f t="shared" si="51"/>
        <v>8.5458032021692603</v>
      </c>
      <c r="R81" s="37">
        <f t="shared" si="51"/>
        <v>7.0066916956386907</v>
      </c>
      <c r="S81" s="37">
        <f t="shared" si="51"/>
        <v>5.6152651518173418</v>
      </c>
      <c r="T81" s="37">
        <f t="shared" si="51"/>
        <v>4.4020495040043883</v>
      </c>
      <c r="U81" s="37">
        <f>($D$94-U$73)/U58</f>
        <v>3.2703866517801625</v>
      </c>
      <c r="W81" s="37">
        <f>($D$94-W$73)/W58</f>
        <v>25.680420314651602</v>
      </c>
      <c r="X81" s="37">
        <f>($D$94-X$73)/X58</f>
        <v>22.346140734947209</v>
      </c>
    </row>
    <row r="82" spans="2:27" x14ac:dyDescent="0.2">
      <c r="B82" s="23" t="s">
        <v>323</v>
      </c>
      <c r="C82" s="12"/>
      <c r="D82" s="240" t="s">
        <v>127</v>
      </c>
      <c r="E82" s="240" t="s">
        <v>127</v>
      </c>
      <c r="F82" s="240" t="s">
        <v>127</v>
      </c>
      <c r="G82" s="37">
        <f>+($D$94)/(G58+G23*(1-G52))</f>
        <v>33.105558455114824</v>
      </c>
      <c r="H82" s="37">
        <f>+($D$94)/(H58+H23*(1-H52))</f>
        <v>40.806902985074629</v>
      </c>
      <c r="I82" s="37">
        <f t="shared" ref="I82:T82" si="52">($D$94-I$73)/(I58+I23*(1-I52))</f>
        <v>27.878569230994625</v>
      </c>
      <c r="J82" s="37">
        <f>($D$94-J$73)/(J58+J23*(1-J52))</f>
        <v>21.858560999505716</v>
      </c>
      <c r="K82" s="37">
        <f t="shared" si="52"/>
        <v>19.129066433389987</v>
      </c>
      <c r="L82" s="37">
        <f t="shared" si="52"/>
        <v>17.006745137350812</v>
      </c>
      <c r="M82" s="37">
        <f t="shared" si="52"/>
        <v>15.026412192679324</v>
      </c>
      <c r="N82" s="37">
        <f t="shared" si="52"/>
        <v>13.167196422760552</v>
      </c>
      <c r="O82" s="37">
        <f t="shared" si="52"/>
        <v>11.437179582773851</v>
      </c>
      <c r="P82" s="37">
        <f t="shared" si="52"/>
        <v>9.8225194485143454</v>
      </c>
      <c r="Q82" s="37">
        <f t="shared" si="52"/>
        <v>8.3192409225459976</v>
      </c>
      <c r="R82" s="37">
        <f t="shared" si="52"/>
        <v>6.9203305580901047</v>
      </c>
      <c r="S82" s="37">
        <f t="shared" si="52"/>
        <v>5.6152651518173418</v>
      </c>
      <c r="T82" s="37">
        <f t="shared" si="52"/>
        <v>4.4020495040043883</v>
      </c>
      <c r="U82" s="37">
        <f>($D$94-U$73)/(U58+U23*(1-U52))</f>
        <v>3.2703866517801625</v>
      </c>
      <c r="W82" s="176" t="s">
        <v>324</v>
      </c>
      <c r="X82" s="176" t="s">
        <v>324</v>
      </c>
    </row>
    <row r="83" spans="2:27" x14ac:dyDescent="0.2">
      <c r="C83" s="12"/>
      <c r="E83" s="12"/>
      <c r="F83" s="12"/>
      <c r="G83" s="12"/>
      <c r="H83" s="12"/>
      <c r="I83" s="12"/>
      <c r="J83" s="12"/>
      <c r="K83" s="12"/>
      <c r="L83" s="12"/>
      <c r="Z83" s="2">
        <f>+G81/AA83-1</f>
        <v>0.30599553331978657</v>
      </c>
      <c r="AA83" s="2">
        <v>30.813017033152189</v>
      </c>
    </row>
    <row r="84" spans="2:27" x14ac:dyDescent="0.2">
      <c r="B84" s="36" t="s">
        <v>47</v>
      </c>
      <c r="C84" s="12"/>
      <c r="D84" s="12"/>
      <c r="E84" s="12"/>
      <c r="F84" s="12"/>
      <c r="G84" s="12"/>
      <c r="H84" s="12"/>
      <c r="I84" s="12"/>
      <c r="J84" s="12"/>
      <c r="K84" s="12"/>
      <c r="L84" s="12"/>
    </row>
    <row r="85" spans="2:27" ht="13.5" x14ac:dyDescent="0.35">
      <c r="B85" s="2" t="s">
        <v>48</v>
      </c>
      <c r="C85" s="12"/>
      <c r="D85" s="12"/>
      <c r="E85" s="12"/>
      <c r="F85" s="12"/>
      <c r="G85" s="12"/>
      <c r="H85" s="12"/>
      <c r="I85" s="12"/>
      <c r="J85" s="12"/>
      <c r="K85" s="38"/>
      <c r="L85" s="38"/>
      <c r="M85" s="38"/>
      <c r="N85" s="38"/>
      <c r="O85" s="38"/>
      <c r="P85" s="38"/>
      <c r="Q85" s="38"/>
      <c r="R85" s="38"/>
      <c r="S85" s="38"/>
      <c r="T85" s="38">
        <v>15</v>
      </c>
    </row>
    <row r="86" spans="2:27" x14ac:dyDescent="0.2">
      <c r="B86" s="2" t="s">
        <v>49</v>
      </c>
      <c r="C86" s="12"/>
      <c r="D86" s="12"/>
      <c r="E86" s="12"/>
      <c r="F86" s="12"/>
      <c r="G86" s="12"/>
      <c r="H86" s="12"/>
      <c r="I86" s="12"/>
      <c r="J86" s="12"/>
      <c r="K86" s="12"/>
      <c r="L86" s="12"/>
      <c r="M86" s="12"/>
      <c r="N86" s="12"/>
      <c r="O86" s="12"/>
      <c r="P86" s="12"/>
      <c r="Q86" s="12"/>
      <c r="R86" s="12"/>
      <c r="S86" s="12"/>
      <c r="T86" s="12">
        <f>T85*U54</f>
        <v>2013362.7772070826</v>
      </c>
    </row>
    <row r="87" spans="2:27" ht="13.5" x14ac:dyDescent="0.35">
      <c r="C87" s="12"/>
      <c r="D87" s="12"/>
      <c r="E87" s="12"/>
      <c r="F87" s="12"/>
      <c r="G87" s="12"/>
      <c r="H87" s="12"/>
      <c r="I87" s="12"/>
      <c r="J87" s="12"/>
      <c r="K87" s="12"/>
      <c r="L87" s="12"/>
      <c r="M87" s="12"/>
      <c r="N87" s="39"/>
      <c r="O87" s="39"/>
      <c r="P87" s="39"/>
      <c r="Q87" s="39"/>
      <c r="R87" s="39"/>
      <c r="S87" s="39"/>
      <c r="T87" s="39"/>
      <c r="U87" s="39" t="s">
        <v>50</v>
      </c>
    </row>
    <row r="88" spans="2:27" x14ac:dyDescent="0.2">
      <c r="B88" s="2" t="s">
        <v>51</v>
      </c>
      <c r="C88" s="12"/>
      <c r="D88" s="12"/>
      <c r="E88" s="12"/>
      <c r="F88" s="12"/>
      <c r="G88" s="12"/>
      <c r="H88" s="12"/>
      <c r="I88" s="12"/>
      <c r="J88" s="12">
        <f>-D94</f>
        <v>-1522326</v>
      </c>
      <c r="K88" s="12">
        <f t="shared" ref="K88:S88" si="53">+K71</f>
        <v>85980.922746963275</v>
      </c>
      <c r="L88" s="12">
        <f t="shared" si="53"/>
        <v>46274.273029498901</v>
      </c>
      <c r="M88" s="12">
        <f t="shared" si="53"/>
        <v>56679.655459153917</v>
      </c>
      <c r="N88" s="12">
        <f t="shared" si="53"/>
        <v>67902.968059655977</v>
      </c>
      <c r="O88" s="12">
        <f t="shared" si="53"/>
        <v>77420.506892106205</v>
      </c>
      <c r="P88" s="12">
        <f t="shared" si="53"/>
        <v>87290.585956475596</v>
      </c>
      <c r="Q88" s="12">
        <f t="shared" si="53"/>
        <v>96626.235084285319</v>
      </c>
      <c r="R88" s="12">
        <f t="shared" si="53"/>
        <v>105809.32501854168</v>
      </c>
      <c r="S88" s="12">
        <f t="shared" si="53"/>
        <v>115432.69311683564</v>
      </c>
      <c r="T88" s="12">
        <f>T86+T71</f>
        <v>2137845.3589211064</v>
      </c>
      <c r="U88" s="12">
        <f>+SUM(K88:T88)</f>
        <v>2877262.5242846231</v>
      </c>
    </row>
    <row r="89" spans="2:27" x14ac:dyDescent="0.2">
      <c r="C89" s="12"/>
      <c r="D89" s="12"/>
      <c r="E89" s="12"/>
      <c r="F89" s="12"/>
      <c r="G89" s="12"/>
      <c r="H89" s="12"/>
      <c r="I89" s="12"/>
      <c r="J89" s="12"/>
      <c r="L89" s="29"/>
      <c r="M89" s="29"/>
      <c r="N89" s="29"/>
      <c r="O89" s="29"/>
      <c r="P89" s="12"/>
      <c r="Q89" s="12"/>
      <c r="R89" s="12"/>
      <c r="S89" s="12"/>
      <c r="T89" s="12" t="s">
        <v>52</v>
      </c>
      <c r="U89" s="37">
        <f>+U88/-J88</f>
        <v>1.8900436071410611</v>
      </c>
    </row>
    <row r="90" spans="2:27" x14ac:dyDescent="0.2">
      <c r="B90" s="40" t="s">
        <v>53</v>
      </c>
      <c r="C90" s="41"/>
      <c r="D90" s="41"/>
      <c r="E90" s="42">
        <f ca="1">XIRR(J88:T88,J7:T7)</f>
        <v>8.0417129397392303E-2</v>
      </c>
      <c r="F90" s="12"/>
      <c r="G90" s="12"/>
      <c r="H90" s="12"/>
      <c r="I90" s="12"/>
      <c r="J90" s="12"/>
      <c r="K90" s="12"/>
      <c r="L90" s="12"/>
    </row>
    <row r="91" spans="2:27" x14ac:dyDescent="0.2">
      <c r="C91" s="12"/>
      <c r="D91" s="12"/>
      <c r="E91" s="12"/>
      <c r="F91" s="12"/>
      <c r="G91" s="12"/>
      <c r="H91" s="12"/>
      <c r="I91" s="12"/>
      <c r="J91" s="12"/>
      <c r="K91" s="12"/>
      <c r="L91" s="12"/>
    </row>
    <row r="92" spans="2:27" x14ac:dyDescent="0.2">
      <c r="B92" s="129" t="s">
        <v>54</v>
      </c>
      <c r="C92" s="130"/>
      <c r="D92" s="130"/>
      <c r="E92" s="131"/>
      <c r="F92" s="12"/>
      <c r="G92" s="12"/>
      <c r="H92" s="12"/>
      <c r="I92" s="12"/>
      <c r="J92" s="12"/>
      <c r="K92" s="12"/>
      <c r="L92" s="12"/>
    </row>
    <row r="93" spans="2:27" ht="13.5" x14ac:dyDescent="0.35">
      <c r="C93" s="12"/>
      <c r="D93" s="39" t="s">
        <v>55</v>
      </c>
      <c r="E93" s="39" t="s">
        <v>302</v>
      </c>
      <c r="F93" s="12"/>
      <c r="G93" s="12"/>
      <c r="H93" s="12"/>
      <c r="I93" s="12"/>
      <c r="J93" s="12"/>
      <c r="K93" s="12"/>
      <c r="L93" s="12"/>
    </row>
    <row r="94" spans="2:27" x14ac:dyDescent="0.2">
      <c r="B94" s="23" t="s">
        <v>56</v>
      </c>
      <c r="C94" s="12"/>
      <c r="D94" s="12">
        <f>E94*E$98</f>
        <v>1522326</v>
      </c>
      <c r="E94" s="194">
        <f>+'Simple Model - Case 1'!E94</f>
        <v>585.51</v>
      </c>
      <c r="F94" s="179"/>
      <c r="G94" s="12"/>
      <c r="H94" s="12"/>
      <c r="I94" s="12"/>
      <c r="J94" s="12"/>
      <c r="K94" s="12"/>
      <c r="L94" s="12"/>
    </row>
    <row r="95" spans="2:27" ht="13.5" x14ac:dyDescent="0.35">
      <c r="B95" s="2" t="s">
        <v>37</v>
      </c>
      <c r="C95" s="12"/>
      <c r="D95" s="157">
        <f>+'Simple Model - Case 1'!D95</f>
        <v>-42077</v>
      </c>
      <c r="E95" s="43">
        <f>D95/E$98</f>
        <v>-16.18346153846154</v>
      </c>
      <c r="F95" s="12"/>
      <c r="G95" s="12"/>
      <c r="H95" s="12"/>
      <c r="I95" s="12"/>
      <c r="J95" s="12"/>
      <c r="K95" s="12"/>
      <c r="L95" s="12"/>
    </row>
    <row r="96" spans="2:27" x14ac:dyDescent="0.2">
      <c r="B96" s="24" t="s">
        <v>57</v>
      </c>
      <c r="C96" s="12"/>
      <c r="D96" s="12">
        <f>D94+D95</f>
        <v>1480249</v>
      </c>
      <c r="E96" s="155">
        <f>D96/E$98</f>
        <v>569.32653846153846</v>
      </c>
      <c r="F96" s="12"/>
      <c r="G96" s="12"/>
      <c r="H96" s="12"/>
      <c r="I96" s="12"/>
      <c r="J96" s="12"/>
      <c r="K96" s="12"/>
      <c r="L96" s="12"/>
    </row>
    <row r="97" spans="2:12" x14ac:dyDescent="0.2">
      <c r="C97" s="12"/>
      <c r="D97" s="12"/>
      <c r="E97" s="12"/>
      <c r="F97" s="12"/>
      <c r="G97" s="12"/>
      <c r="H97" s="12"/>
      <c r="I97" s="12"/>
      <c r="J97" s="12"/>
      <c r="K97" s="12"/>
      <c r="L97" s="12"/>
    </row>
    <row r="98" spans="2:12" s="7" customFormat="1" x14ac:dyDescent="0.2">
      <c r="B98" s="13" t="s">
        <v>58</v>
      </c>
      <c r="C98" s="14"/>
      <c r="D98" s="14"/>
      <c r="E98" s="156">
        <f>+'Simple Model - Case 1'!E98</f>
        <v>2600</v>
      </c>
      <c r="F98" s="14"/>
      <c r="G98" s="14"/>
      <c r="H98" s="14"/>
      <c r="I98" s="14"/>
      <c r="J98" s="14"/>
      <c r="K98" s="14"/>
      <c r="L98" s="14"/>
    </row>
    <row r="99" spans="2:12" x14ac:dyDescent="0.2">
      <c r="C99" s="12"/>
      <c r="D99" s="12"/>
      <c r="E99" s="12"/>
      <c r="F99" s="12"/>
      <c r="G99" s="12"/>
      <c r="H99" s="12"/>
      <c r="I99" s="12"/>
      <c r="J99" s="201"/>
      <c r="K99" s="12"/>
      <c r="L99" s="12"/>
    </row>
    <row r="100" spans="2:12" x14ac:dyDescent="0.2">
      <c r="C100" s="12"/>
      <c r="D100" s="12"/>
      <c r="E100" s="12"/>
      <c r="F100" s="12"/>
      <c r="G100" s="12"/>
      <c r="H100" s="12"/>
      <c r="I100" s="12"/>
      <c r="J100" s="12"/>
      <c r="K100" s="12"/>
      <c r="L100" s="12"/>
    </row>
    <row r="101" spans="2:12" x14ac:dyDescent="0.2">
      <c r="C101" s="12"/>
      <c r="D101" s="12"/>
      <c r="E101" s="12"/>
      <c r="F101" s="12"/>
      <c r="G101" s="12"/>
      <c r="H101" s="12"/>
      <c r="I101" s="12"/>
      <c r="J101" s="12"/>
      <c r="K101" s="12"/>
      <c r="L101" s="12"/>
    </row>
    <row r="102" spans="2:12" x14ac:dyDescent="0.2">
      <c r="C102" s="12"/>
      <c r="D102" s="12"/>
      <c r="E102" s="12"/>
      <c r="F102" s="12"/>
      <c r="G102" s="12"/>
      <c r="H102" s="12"/>
      <c r="I102" s="12"/>
      <c r="J102" s="12"/>
      <c r="K102" s="12"/>
      <c r="L102" s="12"/>
    </row>
    <row r="103" spans="2:12" x14ac:dyDescent="0.2">
      <c r="C103" s="12"/>
      <c r="D103" s="12"/>
      <c r="E103" s="12"/>
      <c r="F103" s="12"/>
      <c r="G103" s="12"/>
      <c r="H103" s="12"/>
      <c r="I103" s="12"/>
      <c r="J103" s="12"/>
      <c r="K103" s="12"/>
      <c r="L103" s="12"/>
    </row>
    <row r="104" spans="2:12" x14ac:dyDescent="0.2">
      <c r="C104" s="12"/>
      <c r="D104" s="12"/>
      <c r="E104" s="12"/>
      <c r="F104" s="12"/>
      <c r="G104" s="12"/>
      <c r="H104" s="12"/>
      <c r="I104" s="12"/>
      <c r="J104" s="12"/>
      <c r="K104" s="12"/>
      <c r="L104" s="12"/>
    </row>
    <row r="105" spans="2:12" x14ac:dyDescent="0.2">
      <c r="C105" s="12"/>
      <c r="D105" s="12"/>
      <c r="E105" s="12"/>
      <c r="F105" s="12"/>
      <c r="G105" s="12"/>
      <c r="H105" s="12"/>
      <c r="I105" s="12"/>
      <c r="J105" s="12"/>
      <c r="K105" s="12"/>
      <c r="L105" s="12"/>
    </row>
    <row r="106" spans="2:12" x14ac:dyDescent="0.2">
      <c r="C106" s="12"/>
      <c r="D106" s="12"/>
      <c r="E106" s="12"/>
      <c r="F106" s="12"/>
      <c r="G106" s="12"/>
      <c r="H106" s="12"/>
      <c r="I106" s="12"/>
      <c r="J106" s="12"/>
      <c r="K106" s="12"/>
      <c r="L106" s="12"/>
    </row>
    <row r="107" spans="2:12" x14ac:dyDescent="0.2">
      <c r="C107" s="12"/>
      <c r="D107" s="12"/>
      <c r="E107" s="12"/>
      <c r="F107" s="12"/>
      <c r="G107" s="12"/>
      <c r="H107" s="12"/>
      <c r="I107" s="12"/>
      <c r="J107" s="12"/>
      <c r="K107" s="12"/>
      <c r="L107" s="12"/>
    </row>
    <row r="108" spans="2:12" x14ac:dyDescent="0.2">
      <c r="C108" s="12"/>
      <c r="D108" s="12"/>
      <c r="E108" s="12"/>
      <c r="F108" s="12"/>
      <c r="G108" s="12"/>
      <c r="H108" s="12"/>
      <c r="I108" s="12"/>
      <c r="J108" s="12"/>
      <c r="K108" s="12"/>
      <c r="L108" s="12"/>
    </row>
    <row r="109" spans="2:12" x14ac:dyDescent="0.2">
      <c r="C109" s="12"/>
      <c r="D109" s="12"/>
      <c r="E109" s="12"/>
      <c r="F109" s="12"/>
      <c r="G109" s="12"/>
      <c r="H109" s="12"/>
      <c r="I109" s="12"/>
      <c r="J109" s="12"/>
      <c r="K109" s="12"/>
      <c r="L109" s="12"/>
    </row>
  </sheetData>
  <pageMargins left="0.3" right="0.3" top="0.3" bottom="0.3" header="0.3" footer="0.3"/>
  <pageSetup scale="55" orientation="landscape" r:id="rId1"/>
  <headerFoot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74C9B-4F33-4DEE-8D70-E2C567FCF9BB}">
  <sheetPr>
    <pageSetUpPr fitToPage="1"/>
  </sheetPr>
  <dimension ref="B1:Z162"/>
  <sheetViews>
    <sheetView view="pageBreakPreview" zoomScale="70" zoomScaleNormal="85" zoomScaleSheetLayoutView="70" workbookViewId="0">
      <selection activeCell="Z2" sqref="Z2"/>
    </sheetView>
  </sheetViews>
  <sheetFormatPr defaultRowHeight="11.25" outlineLevelRow="1" x14ac:dyDescent="0.2"/>
  <cols>
    <col min="1" max="1" width="2.83203125" customWidth="1"/>
    <col min="2" max="2" width="45.83203125" customWidth="1"/>
    <col min="3" max="3" width="2.83203125" customWidth="1"/>
    <col min="4" max="21" width="11.83203125" customWidth="1"/>
    <col min="22" max="22" width="2.83203125" customWidth="1"/>
    <col min="23" max="26" width="10.83203125" customWidth="1"/>
  </cols>
  <sheetData>
    <row r="1" spans="2:26" x14ac:dyDescent="0.2">
      <c r="I1" s="56"/>
      <c r="J1" s="56"/>
      <c r="K1" s="56"/>
      <c r="L1" s="56"/>
      <c r="M1" s="56"/>
      <c r="N1" s="56"/>
      <c r="O1" s="56"/>
      <c r="P1" s="56"/>
      <c r="Q1" s="56"/>
      <c r="R1" s="56"/>
      <c r="S1" s="56"/>
      <c r="T1" s="56"/>
      <c r="U1" s="56"/>
    </row>
    <row r="2" spans="2:26" x14ac:dyDescent="0.2">
      <c r="B2" s="44" t="s">
        <v>327</v>
      </c>
      <c r="Z2" s="4">
        <f>+'Simple Model - Case 1'!Z2</f>
        <v>0</v>
      </c>
    </row>
    <row r="3" spans="2:26" s="97" customFormat="1" x14ac:dyDescent="0.2">
      <c r="B3" s="5" t="s">
        <v>488</v>
      </c>
    </row>
    <row r="4" spans="2:26" x14ac:dyDescent="0.2">
      <c r="B4" s="7" t="s">
        <v>275</v>
      </c>
    </row>
    <row r="5" spans="2:26" x14ac:dyDescent="0.2">
      <c r="D5" s="162" t="s">
        <v>445</v>
      </c>
      <c r="E5" s="163"/>
      <c r="F5" s="163"/>
      <c r="G5" s="163"/>
      <c r="H5" s="163"/>
      <c r="I5" s="163"/>
      <c r="J5" s="163"/>
      <c r="K5" s="163"/>
      <c r="L5" s="163"/>
      <c r="M5" s="163"/>
      <c r="N5" s="163"/>
      <c r="O5" s="163"/>
      <c r="P5" s="163"/>
      <c r="Q5" s="163"/>
      <c r="R5" s="163"/>
      <c r="S5" s="163"/>
      <c r="T5" s="163"/>
      <c r="U5" s="163"/>
      <c r="W5" s="162" t="s">
        <v>452</v>
      </c>
      <c r="X5" s="162"/>
      <c r="Y5" s="162"/>
      <c r="Z5" s="163"/>
    </row>
    <row r="6" spans="2:26" ht="13.5" x14ac:dyDescent="0.35">
      <c r="D6" s="9" t="s">
        <v>4</v>
      </c>
      <c r="E6" s="9" t="s">
        <v>5</v>
      </c>
      <c r="F6" s="9" t="s">
        <v>6</v>
      </c>
      <c r="G6" s="9" t="s">
        <v>321</v>
      </c>
      <c r="H6" s="9" t="s">
        <v>306</v>
      </c>
      <c r="I6" s="9" t="s">
        <v>357</v>
      </c>
      <c r="J6" s="9" t="s">
        <v>7</v>
      </c>
      <c r="K6" s="9" t="s">
        <v>8</v>
      </c>
      <c r="L6" s="9" t="s">
        <v>9</v>
      </c>
      <c r="M6" s="9" t="s">
        <v>10</v>
      </c>
      <c r="N6" s="9" t="s">
        <v>11</v>
      </c>
      <c r="O6" s="9" t="s">
        <v>12</v>
      </c>
      <c r="P6" s="9" t="s">
        <v>13</v>
      </c>
      <c r="Q6" s="9" t="s">
        <v>14</v>
      </c>
      <c r="R6" s="9" t="s">
        <v>15</v>
      </c>
      <c r="S6" s="9" t="s">
        <v>325</v>
      </c>
      <c r="T6" s="9" t="s">
        <v>346</v>
      </c>
      <c r="U6" s="9" t="s">
        <v>426</v>
      </c>
      <c r="W6" s="235" t="s">
        <v>451</v>
      </c>
      <c r="X6" s="235" t="s">
        <v>465</v>
      </c>
      <c r="Y6" s="235" t="s">
        <v>466</v>
      </c>
      <c r="Z6" s="235" t="s">
        <v>467</v>
      </c>
    </row>
    <row r="7" spans="2:26" x14ac:dyDescent="0.2">
      <c r="J7" s="80"/>
      <c r="K7" s="242"/>
      <c r="L7" s="242"/>
      <c r="M7" s="242"/>
      <c r="N7" s="242"/>
      <c r="O7" s="242"/>
      <c r="P7" s="242"/>
      <c r="Q7" s="242"/>
      <c r="R7" s="242"/>
      <c r="S7" s="242"/>
      <c r="T7" s="242"/>
      <c r="U7" s="242"/>
    </row>
    <row r="8" spans="2:26" x14ac:dyDescent="0.2">
      <c r="B8" s="52" t="s">
        <v>456</v>
      </c>
      <c r="C8" s="53"/>
    </row>
    <row r="10" spans="2:26" x14ac:dyDescent="0.2">
      <c r="B10" t="s">
        <v>444</v>
      </c>
      <c r="D10" s="81">
        <v>43326135.277426325</v>
      </c>
      <c r="E10" s="81">
        <v>43854735.19548367</v>
      </c>
      <c r="F10" s="81">
        <v>41746942.068674579</v>
      </c>
      <c r="G10" s="81">
        <v>46690568.760431737</v>
      </c>
      <c r="H10" s="81">
        <v>49241498.624368057</v>
      </c>
      <c r="I10" s="80">
        <f>+H10*(1+I11)</f>
        <v>51211158.569342777</v>
      </c>
      <c r="J10" s="80">
        <f>+I10*(1+J11)</f>
        <v>52747493.326423064</v>
      </c>
      <c r="K10" s="80">
        <f t="shared" ref="K10:U10" si="0">+J10*(1+K11)</f>
        <v>54329918.126215756</v>
      </c>
      <c r="L10" s="80">
        <f t="shared" si="0"/>
        <v>55959815.67000223</v>
      </c>
      <c r="M10" s="80">
        <f t="shared" si="0"/>
        <v>57638610.140102297</v>
      </c>
      <c r="N10" s="80">
        <f t="shared" si="0"/>
        <v>59367768.444305368</v>
      </c>
      <c r="O10" s="80">
        <f t="shared" si="0"/>
        <v>61148801.49763453</v>
      </c>
      <c r="P10" s="80">
        <f t="shared" si="0"/>
        <v>62983265.542563565</v>
      </c>
      <c r="Q10" s="80">
        <f t="shared" si="0"/>
        <v>64872763.508840472</v>
      </c>
      <c r="R10" s="80">
        <f t="shared" si="0"/>
        <v>66818946.414105691</v>
      </c>
      <c r="S10" s="80">
        <f t="shared" si="0"/>
        <v>68823514.806528866</v>
      </c>
      <c r="T10" s="80">
        <f t="shared" si="0"/>
        <v>70888220.250724733</v>
      </c>
      <c r="U10" s="80">
        <f t="shared" si="0"/>
        <v>73014866.858246475</v>
      </c>
      <c r="W10" s="99">
        <f>+IFERROR((I10/D10)^0.2-1,"n/a")</f>
        <v>3.4005693151165417E-2</v>
      </c>
      <c r="X10" s="99">
        <f>+IFERROR((J10/D10)^(1/6)-1,"n/a")</f>
        <v>3.3336997437100946E-2</v>
      </c>
      <c r="Y10" s="99">
        <f>+IFERROR((O10/J10)^(1/5)-1,"n/a")</f>
        <v>3.0000000000000027E-2</v>
      </c>
      <c r="Z10" s="99">
        <f>+IFERROR((T10/J10)^(1/10)-1,"n/a")</f>
        <v>3.0000000000000027E-2</v>
      </c>
    </row>
    <row r="11" spans="2:26" x14ac:dyDescent="0.2">
      <c r="B11" s="60" t="s">
        <v>17</v>
      </c>
      <c r="E11" s="106">
        <f>+IFERROR(E10/D10-1,"n/a")</f>
        <v>1.2200486257835097E-2</v>
      </c>
      <c r="F11" s="106">
        <f>+IFERROR(F10/E10-1,"n/a")</f>
        <v>-4.8063068159311495E-2</v>
      </c>
      <c r="G11" s="106">
        <f>+IFERROR(G10/F10-1,"n/a")</f>
        <v>0.118418893619197</v>
      </c>
      <c r="H11" s="106">
        <f>+IFERROR(H10/G10-1,"n/a")</f>
        <v>5.4634799525040689E-2</v>
      </c>
      <c r="I11" s="138">
        <v>0.04</v>
      </c>
      <c r="J11" s="138">
        <v>0.03</v>
      </c>
      <c r="K11" s="138">
        <v>0.03</v>
      </c>
      <c r="L11" s="138">
        <v>0.03</v>
      </c>
      <c r="M11" s="138">
        <v>0.03</v>
      </c>
      <c r="N11" s="138">
        <v>0.03</v>
      </c>
      <c r="O11" s="138">
        <v>0.03</v>
      </c>
      <c r="P11" s="138">
        <v>0.03</v>
      </c>
      <c r="Q11" s="138">
        <v>0.03</v>
      </c>
      <c r="R11" s="138">
        <v>0.03</v>
      </c>
      <c r="S11" s="138">
        <v>0.03</v>
      </c>
      <c r="T11" s="138">
        <v>0.03</v>
      </c>
      <c r="U11" s="138">
        <v>0.03</v>
      </c>
    </row>
    <row r="12" spans="2:26" hidden="1" outlineLevel="1" x14ac:dyDescent="0.2">
      <c r="B12" s="60" t="s">
        <v>459</v>
      </c>
      <c r="D12" s="115">
        <v>13934442</v>
      </c>
      <c r="E12" s="115">
        <v>14417614</v>
      </c>
      <c r="F12" s="115">
        <v>14206231</v>
      </c>
      <c r="G12" s="115">
        <v>16042964</v>
      </c>
      <c r="H12" s="115">
        <v>17511745</v>
      </c>
      <c r="I12" s="144">
        <f>+H12*(1+I11)</f>
        <v>18212214.800000001</v>
      </c>
      <c r="J12" s="144"/>
      <c r="K12" s="144"/>
      <c r="L12" s="144"/>
      <c r="M12" s="144"/>
      <c r="N12" s="144"/>
      <c r="O12" s="144"/>
      <c r="P12" s="144"/>
      <c r="Q12" s="144"/>
      <c r="R12" s="144"/>
      <c r="S12" s="144"/>
      <c r="T12" s="144"/>
      <c r="U12" s="144"/>
    </row>
    <row r="13" spans="2:26" collapsed="1" x14ac:dyDescent="0.2">
      <c r="D13" s="56"/>
      <c r="E13" s="56"/>
      <c r="F13" s="56"/>
      <c r="G13" s="56"/>
      <c r="H13" s="56"/>
      <c r="I13" s="56"/>
      <c r="J13" s="56"/>
      <c r="K13" s="56"/>
      <c r="L13" s="56"/>
      <c r="M13" s="56"/>
      <c r="N13" s="56"/>
      <c r="O13" s="56"/>
      <c r="P13" s="56"/>
      <c r="Q13" s="56"/>
      <c r="R13" s="56"/>
      <c r="S13" s="56"/>
      <c r="T13" s="56"/>
      <c r="U13" s="56"/>
    </row>
    <row r="14" spans="2:26" x14ac:dyDescent="0.2">
      <c r="B14" t="s">
        <v>453</v>
      </c>
      <c r="D14" s="81">
        <v>507100.4404087899</v>
      </c>
      <c r="E14" s="81">
        <v>541073.46156921005</v>
      </c>
      <c r="F14" s="81">
        <v>530114.27219110995</v>
      </c>
      <c r="G14" s="81">
        <v>654369.64701145003</v>
      </c>
      <c r="H14" s="81">
        <v>705147.56053189002</v>
      </c>
      <c r="I14" s="81">
        <v>743930.67636114394</v>
      </c>
      <c r="J14" s="80">
        <f>+J20+J27</f>
        <v>800609.77134609572</v>
      </c>
      <c r="K14" s="80">
        <f t="shared" ref="K14:U14" si="1">+K20+K27</f>
        <v>863301.51425476419</v>
      </c>
      <c r="L14" s="80">
        <f t="shared" si="1"/>
        <v>932228.15594469779</v>
      </c>
      <c r="M14" s="80">
        <f t="shared" si="1"/>
        <v>1007567.5967548572</v>
      </c>
      <c r="N14" s="80">
        <f t="shared" si="1"/>
        <v>1089444.734650335</v>
      </c>
      <c r="O14" s="80">
        <f t="shared" si="1"/>
        <v>1177922.7496384019</v>
      </c>
      <c r="P14" s="80">
        <f t="shared" si="1"/>
        <v>1272994.5253225181</v>
      </c>
      <c r="Q14" s="80">
        <f t="shared" si="1"/>
        <v>1374574.4307342689</v>
      </c>
      <c r="R14" s="80">
        <f t="shared" si="1"/>
        <v>1482490.7036115439</v>
      </c>
      <c r="S14" s="80">
        <f t="shared" si="1"/>
        <v>1596478.6888738186</v>
      </c>
      <c r="T14" s="80">
        <f t="shared" si="1"/>
        <v>1716175.1920429599</v>
      </c>
      <c r="U14" s="80">
        <f t="shared" si="1"/>
        <v>1841114.2057513027</v>
      </c>
      <c r="W14" s="99">
        <f>+IFERROR((I14/D14)^0.2-1,"n/a")</f>
        <v>7.966170121913696E-2</v>
      </c>
      <c r="X14" s="99">
        <f>+IFERROR((J14/D14)^(1/6)-1,"n/a")</f>
        <v>7.9082086711331101E-2</v>
      </c>
      <c r="Y14" s="99">
        <f>+IFERROR((O14/J14)^(1/5)-1,"n/a")</f>
        <v>8.0287086449234213E-2</v>
      </c>
      <c r="Z14" s="99">
        <f>+IFERROR((T14/J14)^(1/10)-1,"n/a")</f>
        <v>7.9230159472108319E-2</v>
      </c>
    </row>
    <row r="15" spans="2:26" x14ac:dyDescent="0.2">
      <c r="B15" s="60" t="s">
        <v>17</v>
      </c>
      <c r="E15" s="106">
        <f t="shared" ref="E15:U15" si="2">+IFERROR(E14/D14-1,"n/a")</f>
        <v>6.6994659150825031E-2</v>
      </c>
      <c r="F15" s="106">
        <f t="shared" si="2"/>
        <v>-2.0254531327994707E-2</v>
      </c>
      <c r="G15" s="106">
        <f t="shared" si="2"/>
        <v>0.23439356632817665</v>
      </c>
      <c r="H15" s="106">
        <f t="shared" si="2"/>
        <v>7.7598210357626041E-2</v>
      </c>
      <c r="I15" s="106">
        <f t="shared" si="2"/>
        <v>5.4999999999999938E-2</v>
      </c>
      <c r="J15" s="106">
        <f t="shared" si="2"/>
        <v>7.6188678308295454E-2</v>
      </c>
      <c r="K15" s="106">
        <f t="shared" si="2"/>
        <v>7.8304993459251016E-2</v>
      </c>
      <c r="L15" s="106">
        <f t="shared" si="2"/>
        <v>7.9840751524030251E-2</v>
      </c>
      <c r="M15" s="106">
        <f t="shared" si="2"/>
        <v>8.081652579331533E-2</v>
      </c>
      <c r="N15" s="106">
        <f t="shared" si="2"/>
        <v>8.1262178497189863E-2</v>
      </c>
      <c r="O15" s="106">
        <f t="shared" si="2"/>
        <v>8.1213862598054964E-2</v>
      </c>
      <c r="P15" s="106">
        <f t="shared" si="2"/>
        <v>8.0711384268027153E-2</v>
      </c>
      <c r="Q15" s="106">
        <f t="shared" si="2"/>
        <v>7.9796026920080587E-2</v>
      </c>
      <c r="R15" s="106">
        <f t="shared" si="2"/>
        <v>7.8508860971339578E-2</v>
      </c>
      <c r="S15" s="106">
        <f t="shared" si="2"/>
        <v>7.6889510999687882E-2</v>
      </c>
      <c r="T15" s="106">
        <f t="shared" si="2"/>
        <v>7.4975321627109848E-2</v>
      </c>
      <c r="U15" s="106">
        <f t="shared" si="2"/>
        <v>7.2800850570281073E-2</v>
      </c>
    </row>
    <row r="16" spans="2:26" x14ac:dyDescent="0.2">
      <c r="B16" s="60" t="s">
        <v>446</v>
      </c>
      <c r="D16" s="107">
        <f>+IFERROR(D14/D10,"n/a")</f>
        <v>1.1704262038645254E-2</v>
      </c>
      <c r="E16" s="107">
        <f t="shared" ref="E16:U16" si="3">+IFERROR(E14/E10,"n/a")</f>
        <v>1.2337857226987244E-2</v>
      </c>
      <c r="F16" s="107">
        <f t="shared" si="3"/>
        <v>1.269827790785397E-2</v>
      </c>
      <c r="G16" s="107">
        <f t="shared" si="3"/>
        <v>1.4015028396184378E-2</v>
      </c>
      <c r="H16" s="107">
        <f t="shared" si="3"/>
        <v>1.4320188869778526E-2</v>
      </c>
      <c r="I16" s="107">
        <f t="shared" si="3"/>
        <v>1.4526730055400332E-2</v>
      </c>
      <c r="J16" s="107">
        <f t="shared" si="3"/>
        <v>1.5178157687827836E-2</v>
      </c>
      <c r="K16" s="107">
        <f t="shared" si="3"/>
        <v>1.588998371485114E-2</v>
      </c>
      <c r="L16" s="107">
        <f t="shared" si="3"/>
        <v>1.6658885394514034E-2</v>
      </c>
      <c r="M16" s="107">
        <f t="shared" si="3"/>
        <v>1.7480775374454041E-2</v>
      </c>
      <c r="N16" s="107">
        <f t="shared" si="3"/>
        <v>1.8350777925439033E-2</v>
      </c>
      <c r="O16" s="107">
        <f t="shared" si="3"/>
        <v>1.9263218914993264E-2</v>
      </c>
      <c r="P16" s="107">
        <f t="shared" si="3"/>
        <v>2.0211631047650887E-2</v>
      </c>
      <c r="Q16" s="107">
        <f t="shared" si="3"/>
        <v>2.1188775633813568E-2</v>
      </c>
      <c r="R16" s="107">
        <f t="shared" si="3"/>
        <v>2.2186681819613148E-2</v>
      </c>
      <c r="S16" s="107">
        <f t="shared" si="3"/>
        <v>2.3196703820804722E-2</v>
      </c>
      <c r="T16" s="107">
        <f t="shared" si="3"/>
        <v>2.420959626258094E-2</v>
      </c>
      <c r="U16" s="107">
        <f t="shared" si="3"/>
        <v>2.5215607245106724E-2</v>
      </c>
    </row>
    <row r="17" spans="2:26" hidden="1" outlineLevel="1" x14ac:dyDescent="0.2">
      <c r="B17" s="60" t="s">
        <v>462</v>
      </c>
      <c r="D17" s="115">
        <v>228200.90163160002</v>
      </c>
      <c r="E17" s="115">
        <v>246763.92050708999</v>
      </c>
      <c r="F17" s="115">
        <v>250107.24780874999</v>
      </c>
      <c r="G17" s="115">
        <v>315144.29446405999</v>
      </c>
      <c r="H17" s="115">
        <v>342417.80600044999</v>
      </c>
      <c r="I17" s="115">
        <v>358682.65178547142</v>
      </c>
      <c r="J17" s="107"/>
      <c r="K17" s="107"/>
      <c r="L17" s="107"/>
      <c r="M17" s="107"/>
      <c r="N17" s="107"/>
      <c r="O17" s="107"/>
      <c r="P17" s="107"/>
      <c r="Q17" s="107"/>
      <c r="R17" s="107"/>
      <c r="S17" s="107"/>
      <c r="T17" s="107"/>
      <c r="U17" s="107"/>
    </row>
    <row r="18" spans="2:26" collapsed="1" x14ac:dyDescent="0.2">
      <c r="B18" s="60" t="s">
        <v>460</v>
      </c>
      <c r="D18" s="171">
        <f t="shared" ref="D18:I18" si="4">IFERROR(D17/D12,"n/a")</f>
        <v>1.6376752053049559E-2</v>
      </c>
      <c r="E18" s="171">
        <f t="shared" si="4"/>
        <v>1.7115447847826277E-2</v>
      </c>
      <c r="F18" s="171">
        <f t="shared" si="4"/>
        <v>1.7605461139464085E-2</v>
      </c>
      <c r="G18" s="171">
        <f t="shared" si="4"/>
        <v>1.9643769970689954E-2</v>
      </c>
      <c r="H18" s="171">
        <f t="shared" si="4"/>
        <v>1.9553608506773595E-2</v>
      </c>
      <c r="I18" s="171">
        <f t="shared" si="4"/>
        <v>1.9694620106582062E-2</v>
      </c>
      <c r="J18" s="171"/>
      <c r="K18" s="171"/>
      <c r="L18" s="171"/>
      <c r="M18" s="171"/>
      <c r="N18" s="171"/>
      <c r="O18" s="171"/>
      <c r="P18" s="171"/>
      <c r="Q18" s="171"/>
      <c r="R18" s="171"/>
      <c r="S18" s="171"/>
      <c r="T18" s="171"/>
      <c r="U18" s="171"/>
    </row>
    <row r="20" spans="2:26" x14ac:dyDescent="0.2">
      <c r="B20" t="s">
        <v>447</v>
      </c>
      <c r="D20" s="81">
        <v>216185.27236661999</v>
      </c>
      <c r="E20" s="81">
        <v>254971.64766663002</v>
      </c>
      <c r="F20" s="81">
        <v>292381.26936024998</v>
      </c>
      <c r="G20" s="81">
        <v>389339.83345140005</v>
      </c>
      <c r="H20" s="81">
        <v>433330.56090750999</v>
      </c>
      <c r="I20" s="81">
        <v>477051.39008116431</v>
      </c>
      <c r="J20" s="80">
        <f>+I20*(1+J21)</f>
        <v>539068.07079171564</v>
      </c>
      <c r="K20" s="80">
        <f t="shared" ref="K20:U20" si="5">+J20*(1+K21)</f>
        <v>606990.64771147177</v>
      </c>
      <c r="L20" s="80">
        <f t="shared" si="5"/>
        <v>681043.50673227129</v>
      </c>
      <c r="M20" s="80">
        <f t="shared" si="5"/>
        <v>761406.64052667923</v>
      </c>
      <c r="N20" s="80">
        <f t="shared" si="5"/>
        <v>848206.99754672055</v>
      </c>
      <c r="O20" s="80">
        <f t="shared" si="5"/>
        <v>941509.76727685973</v>
      </c>
      <c r="P20" s="80">
        <f t="shared" si="5"/>
        <v>1041309.8026082068</v>
      </c>
      <c r="Q20" s="80">
        <f t="shared" si="5"/>
        <v>1147523.4024742437</v>
      </c>
      <c r="R20" s="80">
        <f t="shared" si="5"/>
        <v>1259980.6959167193</v>
      </c>
      <c r="S20" s="80">
        <f t="shared" si="5"/>
        <v>1378418.8813328906</v>
      </c>
      <c r="T20" s="80">
        <f t="shared" si="5"/>
        <v>1502476.5806528504</v>
      </c>
      <c r="U20" s="80">
        <f t="shared" si="5"/>
        <v>1631689.5665889953</v>
      </c>
      <c r="W20" s="99">
        <f>+IFERROR((I20/D20)^0.2-1,"n/a")</f>
        <v>0.17151488840799733</v>
      </c>
      <c r="X20" s="99">
        <f>+IFERROR((J20/D20)^(1/6)-1,"n/a")</f>
        <v>0.16449130690481684</v>
      </c>
      <c r="Y20" s="99">
        <f>+IFERROR((O20/J20)^(1/5)-1,"n/a")</f>
        <v>0.11798568851003366</v>
      </c>
      <c r="Z20" s="99">
        <f>+IFERROR((T20/J20)^(1/10)-1,"n/a")</f>
        <v>0.10794042912700275</v>
      </c>
    </row>
    <row r="21" spans="2:26" x14ac:dyDescent="0.2">
      <c r="B21" s="60" t="s">
        <v>17</v>
      </c>
      <c r="E21" s="106">
        <f>+IFERROR(E20/D20-1,"n/a")</f>
        <v>0.17941266246034449</v>
      </c>
      <c r="F21" s="106">
        <f>+IFERROR(F20/E20-1,"n/a")</f>
        <v>0.1467207120319991</v>
      </c>
      <c r="G21" s="106">
        <f>+IFERROR(G20/F20-1,"n/a")</f>
        <v>0.33161687923204508</v>
      </c>
      <c r="H21" s="106">
        <f>+IFERROR(H20/G20-1,"n/a")</f>
        <v>0.11298799577259588</v>
      </c>
      <c r="I21" s="106">
        <f>+IFERROR(I20/H20-1,"n/a")</f>
        <v>0.10089486668581893</v>
      </c>
      <c r="J21" s="138">
        <v>0.13</v>
      </c>
      <c r="K21" s="138">
        <f>+J21-0.4%</f>
        <v>0.126</v>
      </c>
      <c r="L21" s="138">
        <f t="shared" ref="L21:U21" si="6">+K21-0.4%</f>
        <v>0.122</v>
      </c>
      <c r="M21" s="138">
        <f t="shared" si="6"/>
        <v>0.11799999999999999</v>
      </c>
      <c r="N21" s="138">
        <f t="shared" si="6"/>
        <v>0.11399999999999999</v>
      </c>
      <c r="O21" s="138">
        <f t="shared" si="6"/>
        <v>0.10999999999999999</v>
      </c>
      <c r="P21" s="138">
        <f t="shared" si="6"/>
        <v>0.10599999999999998</v>
      </c>
      <c r="Q21" s="138">
        <f t="shared" si="6"/>
        <v>0.10199999999999998</v>
      </c>
      <c r="R21" s="138">
        <f t="shared" si="6"/>
        <v>9.7999999999999976E-2</v>
      </c>
      <c r="S21" s="138">
        <f t="shared" si="6"/>
        <v>9.3999999999999972E-2</v>
      </c>
      <c r="T21" s="138">
        <f t="shared" si="6"/>
        <v>8.9999999999999969E-2</v>
      </c>
      <c r="U21" s="138">
        <f t="shared" si="6"/>
        <v>8.5999999999999965E-2</v>
      </c>
    </row>
    <row r="22" spans="2:26" x14ac:dyDescent="0.2">
      <c r="B22" s="60" t="s">
        <v>454</v>
      </c>
      <c r="D22" s="107">
        <f t="shared" ref="D22:U22" si="7">+IFERROR(D20/D14,"n/a")</f>
        <v>0.42631647527725697</v>
      </c>
      <c r="E22" s="107">
        <f t="shared" si="7"/>
        <v>0.47123295777095869</v>
      </c>
      <c r="F22" s="107">
        <f t="shared" si="7"/>
        <v>0.55154385516118387</v>
      </c>
      <c r="G22" s="107">
        <f t="shared" si="7"/>
        <v>0.59498455533434524</v>
      </c>
      <c r="H22" s="107">
        <f t="shared" si="7"/>
        <v>0.61452465435837356</v>
      </c>
      <c r="I22" s="107">
        <f t="shared" si="7"/>
        <v>0.64125785538863556</v>
      </c>
      <c r="J22" s="107">
        <f t="shared" si="7"/>
        <v>0.67332187300856938</v>
      </c>
      <c r="K22" s="107">
        <f t="shared" si="7"/>
        <v>0.70310388397204415</v>
      </c>
      <c r="L22" s="107">
        <f t="shared" si="7"/>
        <v>0.73055453473416931</v>
      </c>
      <c r="M22" s="107">
        <f t="shared" si="7"/>
        <v>0.75568789923276047</v>
      </c>
      <c r="N22" s="107">
        <f t="shared" si="7"/>
        <v>0.77856817383119348</v>
      </c>
      <c r="O22" s="107">
        <f t="shared" si="7"/>
        <v>0.79929670053989865</v>
      </c>
      <c r="P22" s="107">
        <f t="shared" si="7"/>
        <v>0.81800022065639821</v>
      </c>
      <c r="Q22" s="107">
        <f t="shared" si="7"/>
        <v>0.83482085568932107</v>
      </c>
      <c r="R22" s="107">
        <f t="shared" si="7"/>
        <v>0.849907991225334</v>
      </c>
      <c r="S22" s="107">
        <f t="shared" si="7"/>
        <v>0.86341201479190999</v>
      </c>
      <c r="T22" s="107">
        <f t="shared" si="7"/>
        <v>0.87547972236114224</v>
      </c>
      <c r="U22" s="107">
        <f t="shared" si="7"/>
        <v>0.88625114155976681</v>
      </c>
    </row>
    <row r="23" spans="2:26" hidden="1" outlineLevel="1" x14ac:dyDescent="0.2">
      <c r="B23" s="60" t="s">
        <v>463</v>
      </c>
      <c r="D23" s="115">
        <v>113394.51757847</v>
      </c>
      <c r="E23" s="115">
        <v>137029.45388507002</v>
      </c>
      <c r="F23" s="115">
        <v>160270.79950567998</v>
      </c>
      <c r="G23" s="115">
        <v>220623.37798967998</v>
      </c>
      <c r="H23" s="115">
        <v>246414.8889209</v>
      </c>
      <c r="I23" s="115">
        <v>270802.38569131505</v>
      </c>
      <c r="J23" s="107"/>
      <c r="K23" s="107"/>
      <c r="L23" s="107"/>
      <c r="M23" s="107"/>
      <c r="N23" s="107"/>
      <c r="O23" s="107"/>
      <c r="P23" s="107"/>
      <c r="Q23" s="107"/>
      <c r="R23" s="107"/>
      <c r="S23" s="107"/>
      <c r="T23" s="107"/>
      <c r="U23" s="107"/>
    </row>
    <row r="24" spans="2:26" collapsed="1" x14ac:dyDescent="0.2">
      <c r="B24" s="60" t="s">
        <v>461</v>
      </c>
      <c r="D24" s="107">
        <f t="shared" ref="D24:I24" si="8">+D23/D17</f>
        <v>0.49690652739633057</v>
      </c>
      <c r="E24" s="107">
        <f t="shared" si="8"/>
        <v>0.55530587131003584</v>
      </c>
      <c r="F24" s="107">
        <f t="shared" si="8"/>
        <v>0.64080829688004315</v>
      </c>
      <c r="G24" s="107">
        <f t="shared" si="8"/>
        <v>0.70007098927453548</v>
      </c>
      <c r="H24" s="107">
        <f t="shared" si="8"/>
        <v>0.71963222882333455</v>
      </c>
      <c r="I24" s="107">
        <f t="shared" si="8"/>
        <v>0.75499159031890484</v>
      </c>
      <c r="J24" s="107"/>
      <c r="K24" s="107"/>
      <c r="L24" s="107"/>
      <c r="M24" s="107"/>
      <c r="N24" s="107"/>
      <c r="O24" s="107"/>
      <c r="P24" s="107"/>
      <c r="Q24" s="107"/>
      <c r="R24" s="107"/>
      <c r="S24" s="107"/>
      <c r="T24" s="107"/>
      <c r="U24" s="107"/>
    </row>
    <row r="25" spans="2:26" x14ac:dyDescent="0.2">
      <c r="B25" s="60"/>
      <c r="D25" s="107"/>
      <c r="E25" s="107"/>
      <c r="F25" s="107"/>
      <c r="G25" s="107"/>
      <c r="H25" s="107"/>
      <c r="I25" s="107"/>
    </row>
    <row r="26" spans="2:26" x14ac:dyDescent="0.2">
      <c r="B26" s="62" t="s">
        <v>19</v>
      </c>
      <c r="D26" s="107"/>
      <c r="E26" s="107"/>
      <c r="F26" s="107"/>
      <c r="G26" s="107"/>
      <c r="H26" s="107"/>
      <c r="I26" s="107"/>
    </row>
    <row r="27" spans="2:26" x14ac:dyDescent="0.2">
      <c r="B27" s="60" t="s">
        <v>455</v>
      </c>
      <c r="D27" s="100">
        <f t="shared" ref="D27:I27" si="9">+D14-D20</f>
        <v>290915.16804216988</v>
      </c>
      <c r="E27" s="100">
        <f t="shared" si="9"/>
        <v>286101.81390258006</v>
      </c>
      <c r="F27" s="100">
        <f t="shared" si="9"/>
        <v>237733.00283085997</v>
      </c>
      <c r="G27" s="100">
        <f t="shared" si="9"/>
        <v>265029.81356004998</v>
      </c>
      <c r="H27" s="100">
        <f t="shared" si="9"/>
        <v>271816.99962438003</v>
      </c>
      <c r="I27" s="100">
        <f t="shared" si="9"/>
        <v>266879.28627997963</v>
      </c>
      <c r="J27" s="100">
        <f>+I27*(1+J28)</f>
        <v>261541.70055438002</v>
      </c>
      <c r="K27" s="100">
        <f t="shared" ref="K27:U27" si="10">+J27*(1+K28)</f>
        <v>256310.86654329242</v>
      </c>
      <c r="L27" s="100">
        <f t="shared" si="10"/>
        <v>251184.64921242656</v>
      </c>
      <c r="M27" s="100">
        <f t="shared" si="10"/>
        <v>246160.95622817802</v>
      </c>
      <c r="N27" s="100">
        <f t="shared" si="10"/>
        <v>241237.73710361446</v>
      </c>
      <c r="O27" s="100">
        <f t="shared" si="10"/>
        <v>236412.98236154218</v>
      </c>
      <c r="P27" s="100">
        <f t="shared" si="10"/>
        <v>231684.72271431133</v>
      </c>
      <c r="Q27" s="100">
        <f t="shared" si="10"/>
        <v>227051.02826002511</v>
      </c>
      <c r="R27" s="100">
        <f t="shared" si="10"/>
        <v>222510.0076948246</v>
      </c>
      <c r="S27" s="100">
        <f t="shared" si="10"/>
        <v>218059.8075409281</v>
      </c>
      <c r="T27" s="100">
        <f t="shared" si="10"/>
        <v>213698.61139010952</v>
      </c>
      <c r="U27" s="100">
        <f t="shared" si="10"/>
        <v>209424.63916230734</v>
      </c>
      <c r="W27" s="106">
        <f>+IFERROR((I27/D27)^0.2-1,"n/a")</f>
        <v>-1.7099173186583383E-2</v>
      </c>
      <c r="X27" s="106">
        <f>+IFERROR((J27/D27)^(1/6)-1,"n/a")</f>
        <v>-1.7583239923431693E-2</v>
      </c>
      <c r="Y27" s="106">
        <f>+IFERROR((O27/J27)^(1/5)-1,"n/a")</f>
        <v>-2.0000000000000018E-2</v>
      </c>
      <c r="Z27" s="106">
        <f>+IFERROR((T27/J27)^(1/10)-1,"n/a")</f>
        <v>-2.0000000000000018E-2</v>
      </c>
    </row>
    <row r="28" spans="2:26" x14ac:dyDescent="0.2">
      <c r="B28" s="101" t="s">
        <v>17</v>
      </c>
      <c r="D28" s="107"/>
      <c r="E28" s="106">
        <f>+IFERROR(E27/D27-1,"n/a")</f>
        <v>-1.6545559215709549E-2</v>
      </c>
      <c r="F28" s="106">
        <f>+IFERROR(F27/E27-1,"n/a")</f>
        <v>-0.16906153236829902</v>
      </c>
      <c r="G28" s="106">
        <f>+IFERROR(G27/F27-1,"n/a")</f>
        <v>0.11482129281230202</v>
      </c>
      <c r="H28" s="106">
        <f>+IFERROR(H27/G27-1,"n/a")</f>
        <v>2.5609141753375697E-2</v>
      </c>
      <c r="I28" s="106">
        <f>+IFERROR(I27/H27-1,"n/a")</f>
        <v>-1.8165579604012105E-2</v>
      </c>
      <c r="J28" s="138">
        <v>-0.02</v>
      </c>
      <c r="K28" s="138">
        <v>-0.02</v>
      </c>
      <c r="L28" s="138">
        <v>-0.02</v>
      </c>
      <c r="M28" s="138">
        <v>-0.02</v>
      </c>
      <c r="N28" s="138">
        <v>-0.02</v>
      </c>
      <c r="O28" s="138">
        <v>-0.02</v>
      </c>
      <c r="P28" s="138">
        <v>-0.02</v>
      </c>
      <c r="Q28" s="138">
        <v>-0.02</v>
      </c>
      <c r="R28" s="138">
        <v>-0.02</v>
      </c>
      <c r="S28" s="138">
        <v>-0.02</v>
      </c>
      <c r="T28" s="138">
        <v>-0.02</v>
      </c>
      <c r="U28" s="138">
        <v>-0.02</v>
      </c>
    </row>
    <row r="29" spans="2:26" x14ac:dyDescent="0.2">
      <c r="J29" s="56"/>
      <c r="U29" s="56"/>
    </row>
    <row r="30" spans="2:26" s="44" customFormat="1" x14ac:dyDescent="0.2">
      <c r="B30" s="44" t="s">
        <v>449</v>
      </c>
      <c r="D30" s="111">
        <f t="shared" ref="D30:K30" si="11">+D42</f>
        <v>55012</v>
      </c>
      <c r="E30" s="111">
        <f t="shared" si="11"/>
        <v>69655</v>
      </c>
      <c r="F30" s="111">
        <f t="shared" si="11"/>
        <v>84060</v>
      </c>
      <c r="G30" s="111">
        <f t="shared" si="11"/>
        <v>114934</v>
      </c>
      <c r="H30" s="111">
        <f t="shared" si="11"/>
        <v>113641</v>
      </c>
      <c r="I30" s="111">
        <f t="shared" si="11"/>
        <v>131948</v>
      </c>
      <c r="J30" s="111">
        <f t="shared" si="11"/>
        <v>159149.98549899654</v>
      </c>
      <c r="K30" s="111">
        <f t="shared" si="11"/>
        <v>179485.98518067761</v>
      </c>
      <c r="L30" s="111">
        <f t="shared" ref="L30:U30" si="12">+L33*L20</f>
        <v>204788.49290638164</v>
      </c>
      <c r="M30" s="111">
        <f t="shared" si="12"/>
        <v>232760.56827196805</v>
      </c>
      <c r="N30" s="111">
        <f t="shared" si="12"/>
        <v>263536.30804270599</v>
      </c>
      <c r="O30" s="111">
        <f t="shared" si="12"/>
        <v>297232.85076378792</v>
      </c>
      <c r="P30" s="111">
        <f t="shared" si="12"/>
        <v>333946.08195779042</v>
      </c>
      <c r="Q30" s="111">
        <f t="shared" si="12"/>
        <v>373746.1993298562</v>
      </c>
      <c r="R30" s="111">
        <f t="shared" si="12"/>
        <v>416673.23034376564</v>
      </c>
      <c r="S30" s="111">
        <f t="shared" si="12"/>
        <v>462732.60840274399</v>
      </c>
      <c r="T30" s="111">
        <f t="shared" si="12"/>
        <v>511890.92606225511</v>
      </c>
      <c r="U30" s="111">
        <f t="shared" si="12"/>
        <v>564071.99353655393</v>
      </c>
      <c r="W30" s="237">
        <f>+IFERROR((I30/D30)^0.2-1,"n/a")</f>
        <v>0.19121204318511387</v>
      </c>
      <c r="X30" s="237">
        <f>+IFERROR((J30/D30)^(1/6)-1,"n/a")</f>
        <v>0.19368992454747791</v>
      </c>
      <c r="Y30" s="237">
        <f>+IFERROR((O30/J30)^(1/5)-1,"n/a")</f>
        <v>0.13307339088640635</v>
      </c>
      <c r="Z30" s="237">
        <f>+IFERROR((T30/J30)^(1/10)-1,"n/a")</f>
        <v>0.12392435621944453</v>
      </c>
    </row>
    <row r="31" spans="2:26" x14ac:dyDescent="0.2">
      <c r="B31" s="60" t="s">
        <v>17</v>
      </c>
      <c r="E31" s="106">
        <f t="shared" ref="E31:U31" si="13">+IFERROR(E30/D30-1,"n/a")</f>
        <v>0.26617828837344581</v>
      </c>
      <c r="F31" s="106">
        <f t="shared" si="13"/>
        <v>0.20680496733902798</v>
      </c>
      <c r="G31" s="106">
        <f t="shared" si="13"/>
        <v>0.36728527242445863</v>
      </c>
      <c r="H31" s="106">
        <f t="shared" si="13"/>
        <v>-1.1249934745158119E-2</v>
      </c>
      <c r="I31" s="106">
        <f t="shared" si="13"/>
        <v>0.16109502732288528</v>
      </c>
      <c r="J31" s="106">
        <f t="shared" si="13"/>
        <v>0.20615686102856068</v>
      </c>
      <c r="K31" s="106">
        <f t="shared" si="13"/>
        <v>0.12777883465034501</v>
      </c>
      <c r="L31" s="106">
        <f t="shared" si="13"/>
        <v>0.14097205249888201</v>
      </c>
      <c r="M31" s="106">
        <f t="shared" si="13"/>
        <v>0.13659007382985022</v>
      </c>
      <c r="N31" s="106">
        <f t="shared" si="13"/>
        <v>0.13222059045146417</v>
      </c>
      <c r="O31" s="106">
        <f t="shared" si="13"/>
        <v>0.12786299911138399</v>
      </c>
      <c r="P31" s="106">
        <f t="shared" si="13"/>
        <v>0.12351673477430869</v>
      </c>
      <c r="Q31" s="106">
        <f t="shared" si="13"/>
        <v>0.11918126764276993</v>
      </c>
      <c r="R31" s="106">
        <f t="shared" si="13"/>
        <v>0.11485610045233785</v>
      </c>
      <c r="S31" s="106">
        <f t="shared" si="13"/>
        <v>0.11054076601220153</v>
      </c>
      <c r="T31" s="106">
        <f t="shared" si="13"/>
        <v>0.10623482496553538</v>
      </c>
      <c r="U31" s="106">
        <f t="shared" si="13"/>
        <v>0.10193786374707625</v>
      </c>
    </row>
    <row r="32" spans="2:26" x14ac:dyDescent="0.2">
      <c r="B32" s="60" t="s">
        <v>18</v>
      </c>
      <c r="E32" s="197">
        <f>+'Historical Financials'!CC134</f>
        <v>0.29642623427615789</v>
      </c>
      <c r="F32" s="197">
        <f>+'Historical Financials'!CD134</f>
        <v>0.20864259564998933</v>
      </c>
      <c r="G32" s="197">
        <f>+'Historical Financials'!CE134</f>
        <v>0.34801332381632166</v>
      </c>
      <c r="H32" s="197">
        <f>+'Historical Financials'!CF134</f>
        <v>4.0049071641115708E-2</v>
      </c>
      <c r="I32" s="197">
        <f>+'Historical Financials'!CG134</f>
        <v>0.15775996339349363</v>
      </c>
      <c r="J32" s="197">
        <f>+'Historical Financials'!CH134</f>
        <v>0.21585121646899319</v>
      </c>
      <c r="K32" s="197">
        <f>+'Historical Financials'!CI134</f>
        <v>0.15805148588844564</v>
      </c>
      <c r="L32" s="106">
        <f t="shared" ref="L32:U32" si="14">+L31</f>
        <v>0.14097205249888201</v>
      </c>
      <c r="M32" s="106">
        <f t="shared" si="14"/>
        <v>0.13659007382985022</v>
      </c>
      <c r="N32" s="106">
        <f t="shared" si="14"/>
        <v>0.13222059045146417</v>
      </c>
      <c r="O32" s="106">
        <f t="shared" si="14"/>
        <v>0.12786299911138399</v>
      </c>
      <c r="P32" s="106">
        <f t="shared" si="14"/>
        <v>0.12351673477430869</v>
      </c>
      <c r="Q32" s="106">
        <f t="shared" si="14"/>
        <v>0.11918126764276993</v>
      </c>
      <c r="R32" s="106">
        <f t="shared" si="14"/>
        <v>0.11485610045233785</v>
      </c>
      <c r="S32" s="106">
        <f t="shared" si="14"/>
        <v>0.11054076601220153</v>
      </c>
      <c r="T32" s="106">
        <f t="shared" si="14"/>
        <v>0.10623482496553538</v>
      </c>
      <c r="U32" s="106">
        <f t="shared" si="14"/>
        <v>0.10193786374707625</v>
      </c>
    </row>
    <row r="33" spans="2:26" x14ac:dyDescent="0.2">
      <c r="B33" s="60" t="s">
        <v>448</v>
      </c>
      <c r="D33" s="107">
        <f t="shared" ref="D33:J33" si="15">+IFERROR(D30/D20,"n/a")</f>
        <v>0.25446691811044064</v>
      </c>
      <c r="E33" s="107">
        <f t="shared" si="15"/>
        <v>0.27318723723773564</v>
      </c>
      <c r="F33" s="107">
        <f t="shared" si="15"/>
        <v>0.28750131697536224</v>
      </c>
      <c r="G33" s="107">
        <f t="shared" si="15"/>
        <v>0.29520226322885817</v>
      </c>
      <c r="H33" s="107">
        <f t="shared" si="15"/>
        <v>0.26225013939013525</v>
      </c>
      <c r="I33" s="107">
        <f t="shared" si="15"/>
        <v>0.27659074628741925</v>
      </c>
      <c r="J33" s="171">
        <f t="shared" si="15"/>
        <v>0.29523170471821303</v>
      </c>
      <c r="K33" s="171">
        <f t="shared" ref="K33" si="16">+IFERROR(K30/K20,"n/a")</f>
        <v>0.29569810648218564</v>
      </c>
      <c r="L33" s="183">
        <f t="shared" ref="L33:U33" si="17">+K33+0.5%</f>
        <v>0.30069810648218565</v>
      </c>
      <c r="M33" s="183">
        <f t="shared" si="17"/>
        <v>0.30569810648218565</v>
      </c>
      <c r="N33" s="183">
        <f t="shared" si="17"/>
        <v>0.31069810648218565</v>
      </c>
      <c r="O33" s="183">
        <f t="shared" si="17"/>
        <v>0.31569810648218566</v>
      </c>
      <c r="P33" s="183">
        <f t="shared" si="17"/>
        <v>0.32069810648218566</v>
      </c>
      <c r="Q33" s="183">
        <f t="shared" si="17"/>
        <v>0.32569810648218567</v>
      </c>
      <c r="R33" s="183">
        <f t="shared" si="17"/>
        <v>0.33069810648218567</v>
      </c>
      <c r="S33" s="183">
        <f t="shared" si="17"/>
        <v>0.33569810648218568</v>
      </c>
      <c r="T33" s="183">
        <f t="shared" si="17"/>
        <v>0.34069810648218568</v>
      </c>
      <c r="U33" s="183">
        <f t="shared" si="17"/>
        <v>0.34569810648218569</v>
      </c>
    </row>
    <row r="34" spans="2:26" x14ac:dyDescent="0.2">
      <c r="B34" s="60" t="s">
        <v>454</v>
      </c>
      <c r="D34" s="171">
        <f t="shared" ref="D34:U34" si="18">+IFERROR(D30/D14,"n/a")</f>
        <v>0.10848343960350945</v>
      </c>
      <c r="E34" s="171">
        <f t="shared" si="18"/>
        <v>0.12873482982881476</v>
      </c>
      <c r="F34" s="171">
        <f t="shared" si="18"/>
        <v>0.15856958472850882</v>
      </c>
      <c r="G34" s="171">
        <f t="shared" si="18"/>
        <v>0.17564078732091451</v>
      </c>
      <c r="H34" s="171">
        <f t="shared" si="18"/>
        <v>0.16115917626415815</v>
      </c>
      <c r="I34" s="171">
        <f t="shared" si="18"/>
        <v>0.17736598878461271</v>
      </c>
      <c r="J34" s="171">
        <f t="shared" si="18"/>
        <v>0.19878596439238008</v>
      </c>
      <c r="K34" s="171">
        <f t="shared" ref="K34" si="19">+IFERROR(K30/K14,"n/a")</f>
        <v>0.20790648715080381</v>
      </c>
      <c r="L34" s="171">
        <f t="shared" si="18"/>
        <v>0.21967636527653883</v>
      </c>
      <c r="M34" s="171">
        <f t="shared" si="18"/>
        <v>0.23101235988695562</v>
      </c>
      <c r="N34" s="171">
        <f t="shared" si="18"/>
        <v>0.24189965737664501</v>
      </c>
      <c r="O34" s="171">
        <f t="shared" si="18"/>
        <v>0.25233645487790463</v>
      </c>
      <c r="P34" s="171">
        <f t="shared" si="18"/>
        <v>0.26233112186651697</v>
      </c>
      <c r="Q34" s="171">
        <f t="shared" si="18"/>
        <v>0.27189957194984982</v>
      </c>
      <c r="R34" s="171">
        <f t="shared" si="18"/>
        <v>0.28106296338229603</v>
      </c>
      <c r="S34" s="171">
        <f t="shared" si="18"/>
        <v>0.28984577847961313</v>
      </c>
      <c r="T34" s="171">
        <f t="shared" si="18"/>
        <v>0.29827428367199083</v>
      </c>
      <c r="U34" s="171">
        <f t="shared" si="18"/>
        <v>0.30637534150488688</v>
      </c>
    </row>
    <row r="35" spans="2:26" x14ac:dyDescent="0.2">
      <c r="B35" s="60" t="s">
        <v>446</v>
      </c>
      <c r="D35" s="171">
        <f t="shared" ref="D35:U35" si="20">+IFERROR(D30/D10,"n/a")</f>
        <v>1.2697186039730209E-3</v>
      </c>
      <c r="E35" s="171">
        <f t="shared" si="20"/>
        <v>1.5883119505684152E-3</v>
      </c>
      <c r="F35" s="171">
        <f t="shared" si="20"/>
        <v>2.0135606546156019E-3</v>
      </c>
      <c r="G35" s="171">
        <f t="shared" si="20"/>
        <v>2.4616106218307982E-3</v>
      </c>
      <c r="H35" s="171">
        <f t="shared" si="20"/>
        <v>2.3078298422006733E-3</v>
      </c>
      <c r="I35" s="171">
        <f t="shared" si="20"/>
        <v>2.5765478400832315E-3</v>
      </c>
      <c r="J35" s="171">
        <f t="shared" si="20"/>
        <v>3.017204713674474E-3</v>
      </c>
      <c r="K35" s="171">
        <f t="shared" ref="K35" si="21">+IFERROR(K30/K10,"n/a")</f>
        <v>3.3036306950381808E-3</v>
      </c>
      <c r="L35" s="171">
        <f t="shared" si="20"/>
        <v>3.6595633930252632E-3</v>
      </c>
      <c r="M35" s="171">
        <f t="shared" si="20"/>
        <v>4.0382751719064084E-3</v>
      </c>
      <c r="N35" s="171">
        <f t="shared" si="20"/>
        <v>4.4390468927586035E-3</v>
      </c>
      <c r="O35" s="171">
        <f t="shared" si="20"/>
        <v>4.8608123705463965E-3</v>
      </c>
      <c r="P35" s="171">
        <f t="shared" si="20"/>
        <v>5.3021398474823829E-3</v>
      </c>
      <c r="Q35" s="171">
        <f t="shared" si="20"/>
        <v>5.7612190249753167E-3</v>
      </c>
      <c r="R35" s="171">
        <f t="shared" si="20"/>
        <v>6.2358545398405836E-3</v>
      </c>
      <c r="S35" s="171">
        <f t="shared" si="20"/>
        <v>6.7234666771021608E-3</v>
      </c>
      <c r="T35" s="171">
        <f t="shared" si="20"/>
        <v>7.2210999832094348E-3</v>
      </c>
      <c r="U35" s="171">
        <f t="shared" si="20"/>
        <v>7.7254402809726723E-3</v>
      </c>
    </row>
    <row r="36" spans="2:26" hidden="1" outlineLevel="1" x14ac:dyDescent="0.2">
      <c r="B36" s="60" t="s">
        <v>464</v>
      </c>
      <c r="D36" s="115">
        <v>1749134.2838529078</v>
      </c>
      <c r="E36" s="115">
        <v>1947848.9804642804</v>
      </c>
      <c r="F36" s="115">
        <v>1934671.2601674711</v>
      </c>
      <c r="G36" s="115">
        <v>2466224.1276889062</v>
      </c>
      <c r="H36" s="115">
        <v>2822208.1307979971</v>
      </c>
      <c r="I36" s="115">
        <v>3080414.2670297064</v>
      </c>
      <c r="J36" s="171"/>
      <c r="K36" s="171"/>
      <c r="L36" s="171"/>
      <c r="M36" s="171"/>
      <c r="N36" s="171"/>
      <c r="O36" s="171"/>
      <c r="P36" s="171"/>
      <c r="Q36" s="171"/>
      <c r="R36" s="171"/>
      <c r="S36" s="171"/>
      <c r="T36" s="171"/>
      <c r="U36" s="171"/>
    </row>
    <row r="37" spans="2:26" collapsed="1" x14ac:dyDescent="0.2">
      <c r="B37" s="60" t="s">
        <v>468</v>
      </c>
      <c r="D37" s="171">
        <f t="shared" ref="D37:I37" si="22">+D30/D36</f>
        <v>3.1450987215699784E-2</v>
      </c>
      <c r="E37" s="171">
        <f t="shared" si="22"/>
        <v>3.5759959164491976E-2</v>
      </c>
      <c r="F37" s="171">
        <f t="shared" si="22"/>
        <v>4.3449242117094097E-2</v>
      </c>
      <c r="G37" s="171">
        <f t="shared" si="22"/>
        <v>4.6603225842131564E-2</v>
      </c>
      <c r="H37" s="171">
        <f t="shared" si="22"/>
        <v>4.0266697115590583E-2</v>
      </c>
      <c r="I37" s="171">
        <f t="shared" si="22"/>
        <v>4.2834498402460341E-2</v>
      </c>
      <c r="J37" s="171"/>
      <c r="K37" s="171"/>
      <c r="L37" s="171"/>
      <c r="M37" s="171"/>
      <c r="N37" s="171"/>
      <c r="O37" s="171"/>
      <c r="P37" s="171"/>
      <c r="Q37" s="171"/>
      <c r="R37" s="171"/>
      <c r="S37" s="171"/>
      <c r="T37" s="171"/>
      <c r="U37" s="171"/>
    </row>
    <row r="38" spans="2:26" x14ac:dyDescent="0.2">
      <c r="D38" s="56"/>
      <c r="E38" s="56"/>
      <c r="F38" s="56"/>
      <c r="G38" s="56"/>
      <c r="H38" s="56"/>
      <c r="I38" s="56"/>
    </row>
    <row r="39" spans="2:26" x14ac:dyDescent="0.2">
      <c r="B39" t="s">
        <v>450</v>
      </c>
      <c r="D39" s="64">
        <f>+D43</f>
        <v>826</v>
      </c>
      <c r="E39" s="64">
        <f t="shared" ref="E39:J39" si="23">+E43</f>
        <v>1042</v>
      </c>
      <c r="F39" s="64">
        <f t="shared" si="23"/>
        <v>1906</v>
      </c>
      <c r="G39" s="64">
        <f t="shared" si="23"/>
        <v>2995</v>
      </c>
      <c r="H39" s="64">
        <f t="shared" si="23"/>
        <v>2968</v>
      </c>
      <c r="I39" s="64">
        <f t="shared" si="23"/>
        <v>2953</v>
      </c>
      <c r="J39" s="64">
        <f t="shared" si="23"/>
        <v>3811.5</v>
      </c>
      <c r="K39" s="64">
        <f>+J39*(1+K40)</f>
        <v>4192.6500000000005</v>
      </c>
      <c r="L39" s="64">
        <f t="shared" ref="L39:U39" si="24">+K39*(1+L40)</f>
        <v>4611.9150000000009</v>
      </c>
      <c r="M39" s="64">
        <f t="shared" si="24"/>
        <v>5073.1065000000017</v>
      </c>
      <c r="N39" s="64">
        <f t="shared" si="24"/>
        <v>5580.417150000002</v>
      </c>
      <c r="O39" s="64">
        <f t="shared" si="24"/>
        <v>6138.4588650000023</v>
      </c>
      <c r="P39" s="64">
        <f t="shared" si="24"/>
        <v>6752.3047515000035</v>
      </c>
      <c r="Q39" s="64">
        <f t="shared" si="24"/>
        <v>7427.535226650004</v>
      </c>
      <c r="R39" s="64">
        <f t="shared" si="24"/>
        <v>8170.2887493150047</v>
      </c>
      <c r="S39" s="64">
        <f t="shared" si="24"/>
        <v>8987.3176242465051</v>
      </c>
      <c r="T39" s="64">
        <f t="shared" si="24"/>
        <v>9886.0493866711568</v>
      </c>
      <c r="U39" s="64">
        <f t="shared" si="24"/>
        <v>10874.654325338273</v>
      </c>
      <c r="W39" s="99">
        <f>+IFERROR((I39/D39)^0.2-1,"n/a")</f>
        <v>0.2901989375576175</v>
      </c>
      <c r="X39" s="99">
        <f>+IFERROR((J39/D39)^(1/6)-1,"n/a")</f>
        <v>0.29028598334365996</v>
      </c>
      <c r="Y39" s="99">
        <f>+IFERROR((O39/J39)^(1/5)-1,"n/a")</f>
        <v>0.10000000000000009</v>
      </c>
      <c r="Z39" s="99">
        <f>+IFERROR((T39/J39)^(1/10)-1,"n/a")</f>
        <v>0.10000000000000009</v>
      </c>
    </row>
    <row r="40" spans="2:26" x14ac:dyDescent="0.2">
      <c r="B40" s="60" t="s">
        <v>17</v>
      </c>
      <c r="E40" s="106">
        <f t="shared" ref="E40:J40" si="25">+IFERROR(E39/D39-1,"n/a")</f>
        <v>0.26150121065375309</v>
      </c>
      <c r="F40" s="106">
        <f t="shared" si="25"/>
        <v>0.82917466410748553</v>
      </c>
      <c r="G40" s="106">
        <f t="shared" si="25"/>
        <v>0.5713536201469045</v>
      </c>
      <c r="H40" s="106">
        <f t="shared" si="25"/>
        <v>-9.0150250417362354E-3</v>
      </c>
      <c r="I40" s="106">
        <f t="shared" si="25"/>
        <v>-5.0539083557951114E-3</v>
      </c>
      <c r="J40" s="106">
        <f t="shared" si="25"/>
        <v>0.29072130037250243</v>
      </c>
      <c r="K40" s="138">
        <v>0.1</v>
      </c>
      <c r="L40" s="138">
        <v>0.1</v>
      </c>
      <c r="M40" s="138">
        <v>0.1</v>
      </c>
      <c r="N40" s="138">
        <v>0.1</v>
      </c>
      <c r="O40" s="138">
        <v>0.1</v>
      </c>
      <c r="P40" s="138">
        <v>0.1</v>
      </c>
      <c r="Q40" s="138">
        <v>0.1</v>
      </c>
      <c r="R40" s="138">
        <v>0.1</v>
      </c>
      <c r="S40" s="138">
        <v>0.1</v>
      </c>
      <c r="T40" s="138">
        <v>0.1</v>
      </c>
      <c r="U40" s="138">
        <v>0.1</v>
      </c>
    </row>
    <row r="42" spans="2:26" x14ac:dyDescent="0.2">
      <c r="B42" t="s">
        <v>449</v>
      </c>
      <c r="D42" s="196">
        <f>+'Historical Financials'!CB124</f>
        <v>55012</v>
      </c>
      <c r="E42" s="196">
        <f>+'Historical Financials'!CC124</f>
        <v>69655</v>
      </c>
      <c r="F42" s="196">
        <f>+'Historical Financials'!CD124</f>
        <v>84060</v>
      </c>
      <c r="G42" s="196">
        <f>+'Historical Financials'!CE124</f>
        <v>114934</v>
      </c>
      <c r="H42" s="196">
        <f>+'Historical Financials'!CF124</f>
        <v>113641</v>
      </c>
      <c r="I42" s="196">
        <f>+'Historical Financials'!CG124</f>
        <v>131948</v>
      </c>
      <c r="J42" s="196">
        <f>+'Historical Financials'!CH124</f>
        <v>159149.98549899654</v>
      </c>
      <c r="K42" s="196">
        <f>+'Historical Financials'!CI124</f>
        <v>179485.98518067761</v>
      </c>
      <c r="L42" s="64">
        <f t="shared" ref="L42:U42" si="26">+L30</f>
        <v>204788.49290638164</v>
      </c>
      <c r="M42" s="64">
        <f t="shared" si="26"/>
        <v>232760.56827196805</v>
      </c>
      <c r="N42" s="64">
        <f t="shared" si="26"/>
        <v>263536.30804270599</v>
      </c>
      <c r="O42" s="64">
        <f t="shared" si="26"/>
        <v>297232.85076378792</v>
      </c>
      <c r="P42" s="64">
        <f t="shared" si="26"/>
        <v>333946.08195779042</v>
      </c>
      <c r="Q42" s="64">
        <f t="shared" si="26"/>
        <v>373746.1993298562</v>
      </c>
      <c r="R42" s="64">
        <f t="shared" si="26"/>
        <v>416673.23034376564</v>
      </c>
      <c r="S42" s="64">
        <f t="shared" si="26"/>
        <v>462732.60840274399</v>
      </c>
      <c r="T42" s="64">
        <f t="shared" si="26"/>
        <v>511890.92606225511</v>
      </c>
      <c r="U42" s="64">
        <f t="shared" si="26"/>
        <v>564071.99353655393</v>
      </c>
      <c r="W42" s="99">
        <f>+IFERROR((I42/D42)^0.2-1,"n/a")</f>
        <v>0.19121204318511387</v>
      </c>
      <c r="X42" s="99">
        <f>+IFERROR((J42/D42)^(1/6)-1,"n/a")</f>
        <v>0.19368992454747791</v>
      </c>
      <c r="Y42" s="99">
        <f>+IFERROR((O42/J42)^(1/5)-1,"n/a")</f>
        <v>0.13307339088640635</v>
      </c>
      <c r="Z42" s="99">
        <f>+IFERROR((T42/J42)^(1/10)-1,"n/a")</f>
        <v>0.12392435621944453</v>
      </c>
    </row>
    <row r="43" spans="2:26" ht="13.5" x14ac:dyDescent="0.35">
      <c r="B43" t="s">
        <v>450</v>
      </c>
      <c r="D43" s="198">
        <f>+'Historical Financials'!CB125</f>
        <v>826</v>
      </c>
      <c r="E43" s="198">
        <f>+'Historical Financials'!CC125</f>
        <v>1042</v>
      </c>
      <c r="F43" s="198">
        <f>+'Historical Financials'!CD125</f>
        <v>1906</v>
      </c>
      <c r="G43" s="198">
        <f>+'Historical Financials'!CE125</f>
        <v>2995</v>
      </c>
      <c r="H43" s="198">
        <f>+'Historical Financials'!CF125</f>
        <v>2968</v>
      </c>
      <c r="I43" s="198">
        <f>+'Historical Financials'!CG125</f>
        <v>2953</v>
      </c>
      <c r="J43" s="198">
        <f>+'Historical Financials'!CH125</f>
        <v>3811.5</v>
      </c>
      <c r="K43" s="198">
        <f>+'Historical Financials'!CI125</f>
        <v>4573.8</v>
      </c>
      <c r="L43" s="65">
        <f t="shared" ref="L43:U43" si="27">+L39</f>
        <v>4611.9150000000009</v>
      </c>
      <c r="M43" s="65">
        <f t="shared" si="27"/>
        <v>5073.1065000000017</v>
      </c>
      <c r="N43" s="65">
        <f t="shared" si="27"/>
        <v>5580.417150000002</v>
      </c>
      <c r="O43" s="65">
        <f t="shared" si="27"/>
        <v>6138.4588650000023</v>
      </c>
      <c r="P43" s="65">
        <f t="shared" si="27"/>
        <v>6752.3047515000035</v>
      </c>
      <c r="Q43" s="65">
        <f t="shared" si="27"/>
        <v>7427.535226650004</v>
      </c>
      <c r="R43" s="65">
        <f t="shared" si="27"/>
        <v>8170.2887493150047</v>
      </c>
      <c r="S43" s="65">
        <f t="shared" si="27"/>
        <v>8987.3176242465051</v>
      </c>
      <c r="T43" s="65">
        <f t="shared" si="27"/>
        <v>9886.0493866711568</v>
      </c>
      <c r="U43" s="65">
        <f t="shared" si="27"/>
        <v>10874.654325338273</v>
      </c>
      <c r="W43" s="122">
        <f>+IFERROR((I43/D43)^0.2-1,"n/a")</f>
        <v>0.2901989375576175</v>
      </c>
      <c r="X43" s="122">
        <f>+IFERROR((J43/D43)^(1/6)-1,"n/a")</f>
        <v>0.29028598334365996</v>
      </c>
      <c r="Y43" s="122">
        <f>+IFERROR((O43/J43)^(1/5)-1,"n/a")</f>
        <v>0.10000000000000009</v>
      </c>
      <c r="Z43" s="122">
        <f>+IFERROR((T43/J43)^(1/10)-1,"n/a")</f>
        <v>0.10000000000000009</v>
      </c>
    </row>
    <row r="44" spans="2:26" s="44" customFormat="1" x14ac:dyDescent="0.2">
      <c r="B44" s="110" t="s">
        <v>450</v>
      </c>
      <c r="D44" s="111">
        <f>SUM(D42:D43)</f>
        <v>55838</v>
      </c>
      <c r="E44" s="111">
        <f t="shared" ref="E44:J44" si="28">SUM(E42:E43)</f>
        <v>70697</v>
      </c>
      <c r="F44" s="111">
        <f t="shared" si="28"/>
        <v>85966</v>
      </c>
      <c r="G44" s="111">
        <f t="shared" si="28"/>
        <v>117929</v>
      </c>
      <c r="H44" s="111">
        <f t="shared" si="28"/>
        <v>116609</v>
      </c>
      <c r="I44" s="111">
        <f t="shared" si="28"/>
        <v>134901</v>
      </c>
      <c r="J44" s="111">
        <f t="shared" si="28"/>
        <v>162961.48549899654</v>
      </c>
      <c r="K44" s="111">
        <f t="shared" ref="K44" si="29">SUM(K42:K43)</f>
        <v>184059.7851806776</v>
      </c>
      <c r="L44" s="111">
        <f t="shared" ref="L44:U44" si="30">SUM(L42:L43)</f>
        <v>209400.40790638165</v>
      </c>
      <c r="M44" s="111">
        <f t="shared" si="30"/>
        <v>237833.67477196804</v>
      </c>
      <c r="N44" s="111">
        <f t="shared" si="30"/>
        <v>269116.72519270598</v>
      </c>
      <c r="O44" s="111">
        <f t="shared" si="30"/>
        <v>303371.30962878792</v>
      </c>
      <c r="P44" s="111">
        <f t="shared" si="30"/>
        <v>340698.38670929044</v>
      </c>
      <c r="Q44" s="111">
        <f t="shared" si="30"/>
        <v>381173.73455650621</v>
      </c>
      <c r="R44" s="111">
        <f t="shared" si="30"/>
        <v>424843.51909308066</v>
      </c>
      <c r="S44" s="111">
        <f t="shared" si="30"/>
        <v>471719.92602699052</v>
      </c>
      <c r="T44" s="111">
        <f t="shared" si="30"/>
        <v>521776.97544892627</v>
      </c>
      <c r="U44" s="111">
        <f t="shared" si="30"/>
        <v>574946.64786189224</v>
      </c>
      <c r="W44" s="237">
        <f>+IFERROR((I44/D44)^0.2-1,"n/a")</f>
        <v>0.1929357752166676</v>
      </c>
      <c r="X44" s="237">
        <f>+IFERROR((J44/D44)^(1/6)-1,"n/a")</f>
        <v>0.19543468741766645</v>
      </c>
      <c r="Y44" s="237">
        <f>+IFERROR((O44/J44)^(1/5)-1,"n/a")</f>
        <v>0.13234275652107552</v>
      </c>
      <c r="Z44" s="237">
        <f>+IFERROR((T44/J44)^(1/10)-1,"n/a")</f>
        <v>0.12341441867547887</v>
      </c>
    </row>
    <row r="45" spans="2:26" x14ac:dyDescent="0.2">
      <c r="B45" s="101" t="s">
        <v>17</v>
      </c>
      <c r="E45" s="106">
        <f t="shared" ref="E45:U45" si="31">+IFERROR(E44/D44-1,"n/a")</f>
        <v>0.26610910132884413</v>
      </c>
      <c r="F45" s="106">
        <f t="shared" si="31"/>
        <v>0.21597804715900248</v>
      </c>
      <c r="G45" s="106">
        <f t="shared" si="31"/>
        <v>0.37180978526394148</v>
      </c>
      <c r="H45" s="106">
        <f t="shared" si="31"/>
        <v>-1.1193175554782941E-2</v>
      </c>
      <c r="I45" s="106">
        <f t="shared" si="31"/>
        <v>0.15686610810486323</v>
      </c>
      <c r="J45" s="106">
        <f t="shared" si="31"/>
        <v>0.20800798733142489</v>
      </c>
      <c r="K45" s="106">
        <f t="shared" si="31"/>
        <v>0.129468012745938</v>
      </c>
      <c r="L45" s="106">
        <f t="shared" si="31"/>
        <v>0.13767604205790573</v>
      </c>
      <c r="M45" s="106">
        <f t="shared" si="31"/>
        <v>0.13578419999209501</v>
      </c>
      <c r="N45" s="106">
        <f t="shared" si="31"/>
        <v>0.13153330978353561</v>
      </c>
      <c r="O45" s="106">
        <f t="shared" si="31"/>
        <v>0.12728523064314667</v>
      </c>
      <c r="P45" s="106">
        <f t="shared" si="31"/>
        <v>0.12304089376868488</v>
      </c>
      <c r="Q45" s="106">
        <f t="shared" si="31"/>
        <v>0.11880111390651349</v>
      </c>
      <c r="R45" s="106">
        <f t="shared" si="31"/>
        <v>0.11456661510894506</v>
      </c>
      <c r="S45" s="106">
        <f t="shared" si="31"/>
        <v>0.11033805348844106</v>
      </c>
      <c r="T45" s="106">
        <f t="shared" si="31"/>
        <v>0.1061160376317698</v>
      </c>
      <c r="U45" s="106">
        <f t="shared" si="31"/>
        <v>0.10190114726166266</v>
      </c>
    </row>
    <row r="46" spans="2:26" x14ac:dyDescent="0.2">
      <c r="B46" s="101" t="s">
        <v>18</v>
      </c>
      <c r="E46" s="197">
        <f>+'Historical Financials'!CC135</f>
        <v>0.29599914037035702</v>
      </c>
      <c r="F46" s="197">
        <f>+'Historical Financials'!CD135</f>
        <v>0.21766128690043418</v>
      </c>
      <c r="G46" s="197">
        <f>+'Historical Financials'!CE135</f>
        <v>0.35273247562990018</v>
      </c>
      <c r="H46" s="197">
        <f>+'Historical Financials'!CF135</f>
        <v>3.9320268975400419E-2</v>
      </c>
      <c r="I46" s="197">
        <f>+'Historical Financials'!CG135</f>
        <v>0.15366738416417247</v>
      </c>
      <c r="J46" s="197">
        <f>+'Historical Financials'!CH135</f>
        <v>0.21759645962594809</v>
      </c>
      <c r="K46" s="197">
        <f>+'Historical Financials'!CI135</f>
        <v>0.15936233488132623</v>
      </c>
      <c r="L46" s="106">
        <f t="shared" ref="L46:U46" si="32">+L45</f>
        <v>0.13767604205790573</v>
      </c>
      <c r="M46" s="106">
        <f t="shared" si="32"/>
        <v>0.13578419999209501</v>
      </c>
      <c r="N46" s="106">
        <f t="shared" si="32"/>
        <v>0.13153330978353561</v>
      </c>
      <c r="O46" s="106">
        <f t="shared" si="32"/>
        <v>0.12728523064314667</v>
      </c>
      <c r="P46" s="106">
        <f t="shared" si="32"/>
        <v>0.12304089376868488</v>
      </c>
      <c r="Q46" s="106">
        <f t="shared" si="32"/>
        <v>0.11880111390651349</v>
      </c>
      <c r="R46" s="106">
        <f t="shared" si="32"/>
        <v>0.11456661510894506</v>
      </c>
      <c r="S46" s="106">
        <f t="shared" si="32"/>
        <v>0.11033805348844106</v>
      </c>
      <c r="T46" s="106">
        <f t="shared" si="32"/>
        <v>0.1061160376317698</v>
      </c>
      <c r="U46" s="106">
        <f t="shared" si="32"/>
        <v>0.10190114726166266</v>
      </c>
    </row>
    <row r="47" spans="2:26" x14ac:dyDescent="0.2">
      <c r="B47" s="101"/>
      <c r="E47" s="197"/>
      <c r="F47" s="197"/>
      <c r="G47" s="197"/>
      <c r="H47" s="197"/>
      <c r="I47" s="197"/>
      <c r="J47" s="197"/>
    </row>
    <row r="48" spans="2:26" x14ac:dyDescent="0.2">
      <c r="B48" s="52" t="s">
        <v>457</v>
      </c>
      <c r="C48" s="53"/>
    </row>
    <row r="50" spans="2:26" x14ac:dyDescent="0.2">
      <c r="B50" t="s">
        <v>444</v>
      </c>
      <c r="D50" s="80">
        <f>+D10</f>
        <v>43326135.277426325</v>
      </c>
      <c r="E50" s="80">
        <f>+E10</f>
        <v>43854735.19548367</v>
      </c>
      <c r="F50" s="80">
        <f>+F10</f>
        <v>41746942.068674579</v>
      </c>
      <c r="G50" s="80">
        <f>+G10</f>
        <v>46690568.760431737</v>
      </c>
      <c r="H50" s="80">
        <f>+H10</f>
        <v>49241498.624368057</v>
      </c>
      <c r="I50" s="80">
        <f t="shared" ref="I50:U50" si="33">+H50*(1+I51)</f>
        <v>51211158.569342777</v>
      </c>
      <c r="J50" s="80">
        <f t="shared" si="33"/>
        <v>53259604.91211649</v>
      </c>
      <c r="K50" s="80">
        <f t="shared" si="33"/>
        <v>55389989.108601153</v>
      </c>
      <c r="L50" s="80">
        <f t="shared" si="33"/>
        <v>57605588.672945201</v>
      </c>
      <c r="M50" s="80">
        <f t="shared" si="33"/>
        <v>59909812.219863012</v>
      </c>
      <c r="N50" s="80">
        <f t="shared" si="33"/>
        <v>62306204.708657533</v>
      </c>
      <c r="O50" s="80">
        <f t="shared" si="33"/>
        <v>64798452.897003837</v>
      </c>
      <c r="P50" s="80">
        <f t="shared" si="33"/>
        <v>67390391.012883991</v>
      </c>
      <c r="Q50" s="80">
        <f t="shared" si="33"/>
        <v>70086006.653399348</v>
      </c>
      <c r="R50" s="80">
        <f t="shared" si="33"/>
        <v>72889446.919535324</v>
      </c>
      <c r="S50" s="80">
        <f t="shared" si="33"/>
        <v>75805024.796316743</v>
      </c>
      <c r="T50" s="80">
        <f t="shared" si="33"/>
        <v>78837225.788169414</v>
      </c>
      <c r="U50" s="80">
        <f t="shared" si="33"/>
        <v>81990714.819696188</v>
      </c>
      <c r="W50" s="99">
        <f>+IFERROR((I50/D50)^0.2-1,"n/a")</f>
        <v>3.4005693151165417E-2</v>
      </c>
      <c r="X50" s="99">
        <f>+IFERROR((J50/D50)^(1/6)-1,"n/a")</f>
        <v>3.5002339611381217E-2</v>
      </c>
      <c r="Y50" s="99">
        <f>+IFERROR((O50/J50)^(1/5)-1,"n/a")</f>
        <v>4.0000000000000036E-2</v>
      </c>
      <c r="Z50" s="99">
        <f>+IFERROR((T50/J50)^(1/10)-1,"n/a")</f>
        <v>4.0000000000000036E-2</v>
      </c>
    </row>
    <row r="51" spans="2:26" x14ac:dyDescent="0.2">
      <c r="B51" s="60" t="s">
        <v>17</v>
      </c>
      <c r="E51" s="106">
        <f>+IFERROR(E50/D50-1,"n/a")</f>
        <v>1.2200486257835097E-2</v>
      </c>
      <c r="F51" s="106">
        <f>+IFERROR(F50/E50-1,"n/a")</f>
        <v>-4.8063068159311495E-2</v>
      </c>
      <c r="G51" s="106">
        <f>+IFERROR(G50/F50-1,"n/a")</f>
        <v>0.118418893619197</v>
      </c>
      <c r="H51" s="106">
        <f>+IFERROR(H50/G50-1,"n/a")</f>
        <v>5.4634799525040689E-2</v>
      </c>
      <c r="I51" s="138">
        <v>0.04</v>
      </c>
      <c r="J51" s="138">
        <v>0.04</v>
      </c>
      <c r="K51" s="138">
        <v>0.04</v>
      </c>
      <c r="L51" s="138">
        <v>0.04</v>
      </c>
      <c r="M51" s="138">
        <v>0.04</v>
      </c>
      <c r="N51" s="138">
        <v>0.04</v>
      </c>
      <c r="O51" s="138">
        <v>0.04</v>
      </c>
      <c r="P51" s="138">
        <v>0.04</v>
      </c>
      <c r="Q51" s="138">
        <v>0.04</v>
      </c>
      <c r="R51" s="138">
        <v>0.04</v>
      </c>
      <c r="S51" s="138">
        <v>0.04</v>
      </c>
      <c r="T51" s="138">
        <v>0.04</v>
      </c>
      <c r="U51" s="138">
        <v>0.04</v>
      </c>
    </row>
    <row r="52" spans="2:26" hidden="1" outlineLevel="1" x14ac:dyDescent="0.2">
      <c r="B52" s="60" t="s">
        <v>459</v>
      </c>
      <c r="D52" s="100">
        <f t="shared" ref="D52:I52" si="34">+D12</f>
        <v>13934442</v>
      </c>
      <c r="E52" s="100">
        <f t="shared" si="34"/>
        <v>14417614</v>
      </c>
      <c r="F52" s="100">
        <f t="shared" si="34"/>
        <v>14206231</v>
      </c>
      <c r="G52" s="100">
        <f t="shared" si="34"/>
        <v>16042964</v>
      </c>
      <c r="H52" s="100">
        <f t="shared" si="34"/>
        <v>17511745</v>
      </c>
      <c r="I52" s="100">
        <f t="shared" si="34"/>
        <v>18212214.800000001</v>
      </c>
      <c r="J52" s="138"/>
      <c r="K52" s="138"/>
      <c r="L52" s="138"/>
      <c r="M52" s="138"/>
      <c r="N52" s="138"/>
      <c r="O52" s="138"/>
      <c r="P52" s="138"/>
      <c r="Q52" s="138"/>
      <c r="R52" s="138"/>
      <c r="S52" s="138"/>
      <c r="T52" s="138"/>
      <c r="U52" s="138"/>
    </row>
    <row r="53" spans="2:26" collapsed="1" x14ac:dyDescent="0.2"/>
    <row r="54" spans="2:26" x14ac:dyDescent="0.2">
      <c r="B54" t="s">
        <v>453</v>
      </c>
      <c r="D54" s="80">
        <f t="shared" ref="D54:I54" si="35">+D14</f>
        <v>507100.4404087899</v>
      </c>
      <c r="E54" s="80">
        <f t="shared" si="35"/>
        <v>541073.46156921005</v>
      </c>
      <c r="F54" s="80">
        <f t="shared" si="35"/>
        <v>530114.27219110995</v>
      </c>
      <c r="G54" s="80">
        <f t="shared" si="35"/>
        <v>654369.64701145003</v>
      </c>
      <c r="H54" s="80">
        <f t="shared" si="35"/>
        <v>705147.56053189002</v>
      </c>
      <c r="I54" s="80">
        <f t="shared" si="35"/>
        <v>743930.67636114394</v>
      </c>
      <c r="J54" s="80">
        <f>+J60+J67</f>
        <v>810150.79914771882</v>
      </c>
      <c r="K54" s="80">
        <f t="shared" ref="K54:U54" si="36">+K60+K67</f>
        <v>885016.89353125868</v>
      </c>
      <c r="L54" s="80">
        <f t="shared" si="36"/>
        <v>969166.93203268386</v>
      </c>
      <c r="M54" s="80">
        <f t="shared" si="36"/>
        <v>1063224.7940776309</v>
      </c>
      <c r="N54" s="80">
        <f t="shared" si="36"/>
        <v>1167788.1292248939</v>
      </c>
      <c r="O54" s="80">
        <f t="shared" si="36"/>
        <v>1283414.9254585879</v>
      </c>
      <c r="P54" s="80">
        <f t="shared" si="36"/>
        <v>1410608.9106415845</v>
      </c>
      <c r="Q54" s="80">
        <f t="shared" si="36"/>
        <v>1549803.9671144257</v>
      </c>
      <c r="R54" s="80">
        <f t="shared" si="36"/>
        <v>1701347.7933340443</v>
      </c>
      <c r="S54" s="80">
        <f t="shared" si="36"/>
        <v>1865485.1007430186</v>
      </c>
      <c r="T54" s="80">
        <f t="shared" si="36"/>
        <v>2042340.6868444299</v>
      </c>
      <c r="U54" s="80">
        <f t="shared" si="36"/>
        <v>2231902.7746147853</v>
      </c>
      <c r="W54" s="99">
        <f>+IFERROR((I54/D54)^0.2-1,"n/a")</f>
        <v>7.966170121913696E-2</v>
      </c>
      <c r="X54" s="99">
        <f>+IFERROR((J54/D54)^(1/6)-1,"n/a")</f>
        <v>8.1214794218362529E-2</v>
      </c>
      <c r="Y54" s="99">
        <f>+IFERROR((O54/J54)^(1/5)-1,"n/a")</f>
        <v>9.6377827839633889E-2</v>
      </c>
      <c r="Z54" s="99">
        <f>+IFERROR((T54/J54)^(1/10)-1,"n/a")</f>
        <v>9.6872712551639095E-2</v>
      </c>
    </row>
    <row r="55" spans="2:26" x14ac:dyDescent="0.2">
      <c r="B55" s="60" t="s">
        <v>17</v>
      </c>
      <c r="E55" s="106">
        <f t="shared" ref="E55:U55" si="37">+IFERROR(E54/D54-1,"n/a")</f>
        <v>6.6994659150825031E-2</v>
      </c>
      <c r="F55" s="106">
        <f t="shared" si="37"/>
        <v>-2.0254531327994707E-2</v>
      </c>
      <c r="G55" s="106">
        <f t="shared" si="37"/>
        <v>0.23439356632817665</v>
      </c>
      <c r="H55" s="106">
        <f t="shared" si="37"/>
        <v>7.7598210357626041E-2</v>
      </c>
      <c r="I55" s="106">
        <f t="shared" si="37"/>
        <v>5.4999999999999938E-2</v>
      </c>
      <c r="J55" s="106">
        <f t="shared" si="37"/>
        <v>8.9013835416067888E-2</v>
      </c>
      <c r="K55" s="106">
        <f t="shared" si="37"/>
        <v>9.2410072868284843E-2</v>
      </c>
      <c r="L55" s="106">
        <f t="shared" si="37"/>
        <v>9.5082974253364316E-2</v>
      </c>
      <c r="M55" s="106">
        <f t="shared" si="37"/>
        <v>9.705021801319047E-2</v>
      </c>
      <c r="N55" s="106">
        <f t="shared" si="37"/>
        <v>9.8345463470849381E-2</v>
      </c>
      <c r="O55" s="106">
        <f t="shared" si="37"/>
        <v>9.901350539540088E-2</v>
      </c>
      <c r="P55" s="106">
        <f t="shared" si="37"/>
        <v>9.910589526418967E-2</v>
      </c>
      <c r="Q55" s="106">
        <f t="shared" si="37"/>
        <v>9.8677284272599142E-2</v>
      </c>
      <c r="R55" s="106">
        <f t="shared" si="37"/>
        <v>9.7782577303487939E-2</v>
      </c>
      <c r="S55" s="106">
        <f t="shared" si="37"/>
        <v>9.647487013065259E-2</v>
      </c>
      <c r="T55" s="106">
        <f t="shared" si="37"/>
        <v>9.4804073230587704E-2</v>
      </c>
      <c r="U55" s="106">
        <f t="shared" si="37"/>
        <v>9.2816095273136279E-2</v>
      </c>
    </row>
    <row r="56" spans="2:26" x14ac:dyDescent="0.2">
      <c r="B56" s="60" t="s">
        <v>446</v>
      </c>
      <c r="D56" s="107">
        <f>+IFERROR(D54/D50,"n/a")</f>
        <v>1.1704262038645254E-2</v>
      </c>
      <c r="E56" s="107">
        <f t="shared" ref="E56:U56" si="38">+IFERROR(E54/E50,"n/a")</f>
        <v>1.2337857226987244E-2</v>
      </c>
      <c r="F56" s="107">
        <f t="shared" si="38"/>
        <v>1.269827790785397E-2</v>
      </c>
      <c r="G56" s="107">
        <f t="shared" si="38"/>
        <v>1.4015028396184378E-2</v>
      </c>
      <c r="H56" s="107">
        <f t="shared" si="38"/>
        <v>1.4320188869778526E-2</v>
      </c>
      <c r="I56" s="107">
        <f t="shared" si="38"/>
        <v>1.4526730055400332E-2</v>
      </c>
      <c r="J56" s="107">
        <f t="shared" si="38"/>
        <v>1.5211355782389789E-2</v>
      </c>
      <c r="K56" s="107">
        <f t="shared" si="38"/>
        <v>1.5977921421794071E-2</v>
      </c>
      <c r="L56" s="107">
        <f t="shared" si="38"/>
        <v>1.6824182416312304E-2</v>
      </c>
      <c r="M56" s="107">
        <f t="shared" si="38"/>
        <v>1.774708941125875E-2</v>
      </c>
      <c r="N56" s="107">
        <f t="shared" si="38"/>
        <v>1.8742726100641916E-2</v>
      </c>
      <c r="O56" s="107">
        <f t="shared" si="38"/>
        <v>1.9806258762050333E-2</v>
      </c>
      <c r="P56" s="107">
        <f t="shared" si="38"/>
        <v>2.093189977740147E-2</v>
      </c>
      <c r="Q56" s="107">
        <f t="shared" si="38"/>
        <v>2.2112887309713149E-2</v>
      </c>
      <c r="R56" s="107">
        <f t="shared" si="38"/>
        <v>2.3341483098537012E-2</v>
      </c>
      <c r="S56" s="107">
        <f t="shared" si="38"/>
        <v>2.4608990047235758E-2</v>
      </c>
      <c r="T56" s="107">
        <f t="shared" si="38"/>
        <v>2.5905790905581441E-2</v>
      </c>
      <c r="U56" s="107">
        <f t="shared" si="38"/>
        <v>2.7221408906153693E-2</v>
      </c>
    </row>
    <row r="57" spans="2:26" hidden="1" outlineLevel="1" x14ac:dyDescent="0.2">
      <c r="B57" s="60" t="s">
        <v>462</v>
      </c>
      <c r="D57" s="100">
        <f t="shared" ref="D57:I57" si="39">+D17</f>
        <v>228200.90163160002</v>
      </c>
      <c r="E57" s="100">
        <f t="shared" si="39"/>
        <v>246763.92050708999</v>
      </c>
      <c r="F57" s="100">
        <f t="shared" si="39"/>
        <v>250107.24780874999</v>
      </c>
      <c r="G57" s="100">
        <f t="shared" si="39"/>
        <v>315144.29446405999</v>
      </c>
      <c r="H57" s="100">
        <f t="shared" si="39"/>
        <v>342417.80600044999</v>
      </c>
      <c r="I57" s="100">
        <f t="shared" si="39"/>
        <v>358682.65178547142</v>
      </c>
      <c r="J57" s="107"/>
      <c r="K57" s="107"/>
      <c r="L57" s="107"/>
      <c r="M57" s="107"/>
      <c r="N57" s="107"/>
      <c r="O57" s="107"/>
      <c r="P57" s="107"/>
      <c r="Q57" s="107"/>
      <c r="R57" s="107"/>
      <c r="S57" s="107"/>
      <c r="T57" s="107"/>
      <c r="U57" s="107"/>
    </row>
    <row r="58" spans="2:26" collapsed="1" x14ac:dyDescent="0.2">
      <c r="B58" s="60" t="s">
        <v>460</v>
      </c>
      <c r="D58" s="171">
        <f t="shared" ref="D58:I58" si="40">IFERROR(D57/D52,"n/a")</f>
        <v>1.6376752053049559E-2</v>
      </c>
      <c r="E58" s="171">
        <f t="shared" si="40"/>
        <v>1.7115447847826277E-2</v>
      </c>
      <c r="F58" s="171">
        <f t="shared" si="40"/>
        <v>1.7605461139464085E-2</v>
      </c>
      <c r="G58" s="171">
        <f t="shared" si="40"/>
        <v>1.9643769970689954E-2</v>
      </c>
      <c r="H58" s="171">
        <f t="shared" si="40"/>
        <v>1.9553608506773595E-2</v>
      </c>
      <c r="I58" s="171">
        <f t="shared" si="40"/>
        <v>1.9694620106582062E-2</v>
      </c>
      <c r="J58" s="107"/>
      <c r="K58" s="107"/>
      <c r="L58" s="107"/>
      <c r="M58" s="107"/>
      <c r="N58" s="107"/>
      <c r="O58" s="107"/>
      <c r="P58" s="107"/>
      <c r="Q58" s="107"/>
      <c r="R58" s="107"/>
      <c r="S58" s="107"/>
      <c r="T58" s="107"/>
      <c r="U58" s="107"/>
    </row>
    <row r="60" spans="2:26" x14ac:dyDescent="0.2">
      <c r="B60" t="s">
        <v>447</v>
      </c>
      <c r="D60" s="80">
        <f t="shared" ref="D60:I60" si="41">+D20</f>
        <v>216185.27236661999</v>
      </c>
      <c r="E60" s="80">
        <f t="shared" si="41"/>
        <v>254971.64766663002</v>
      </c>
      <c r="F60" s="80">
        <f t="shared" si="41"/>
        <v>292381.26936024998</v>
      </c>
      <c r="G60" s="80">
        <f t="shared" si="41"/>
        <v>389339.83345140005</v>
      </c>
      <c r="H60" s="80">
        <f t="shared" si="41"/>
        <v>433330.56090750999</v>
      </c>
      <c r="I60" s="80">
        <f t="shared" si="41"/>
        <v>477051.39008116431</v>
      </c>
      <c r="J60" s="80">
        <f t="shared" ref="J60:U60" si="42">+I60*(1+J61)</f>
        <v>548609.09859333886</v>
      </c>
      <c r="K60" s="80">
        <f t="shared" si="42"/>
        <v>628706.02698796627</v>
      </c>
      <c r="L60" s="80">
        <f t="shared" si="42"/>
        <v>717982.28282025736</v>
      </c>
      <c r="M60" s="80">
        <f t="shared" si="42"/>
        <v>817063.83784945286</v>
      </c>
      <c r="N60" s="80">
        <f t="shared" si="42"/>
        <v>926550.3921212795</v>
      </c>
      <c r="O60" s="80">
        <f t="shared" si="42"/>
        <v>1047001.9430970458</v>
      </c>
      <c r="P60" s="80">
        <f t="shared" si="42"/>
        <v>1178924.1879272733</v>
      </c>
      <c r="Q60" s="80">
        <f t="shared" si="42"/>
        <v>1322752.9388544005</v>
      </c>
      <c r="R60" s="80">
        <f t="shared" si="42"/>
        <v>1478837.7856392197</v>
      </c>
      <c r="S60" s="80">
        <f t="shared" si="42"/>
        <v>1647425.2932020905</v>
      </c>
      <c r="T60" s="80">
        <f t="shared" si="42"/>
        <v>1828642.0754543203</v>
      </c>
      <c r="U60" s="80">
        <f t="shared" si="42"/>
        <v>2022478.135452478</v>
      </c>
      <c r="W60" s="99">
        <f>+IFERROR((I60/D60)^0.2-1,"n/a")</f>
        <v>0.17151488840799733</v>
      </c>
      <c r="X60" s="99">
        <f>+IFERROR((J60/D60)^(1/6)-1,"n/a")</f>
        <v>0.16790132268524438</v>
      </c>
      <c r="Y60" s="99">
        <f>+IFERROR((O60/J60)^(1/5)-1,"n/a")</f>
        <v>0.13798594003759312</v>
      </c>
      <c r="Z60" s="99">
        <f>+IFERROR((T60/J60)^(1/10)-1,"n/a")</f>
        <v>0.12794148548923689</v>
      </c>
    </row>
    <row r="61" spans="2:26" x14ac:dyDescent="0.2">
      <c r="B61" s="60" t="s">
        <v>17</v>
      </c>
      <c r="E61" s="106">
        <f>+IFERROR(E60/D60-1,"n/a")</f>
        <v>0.17941266246034449</v>
      </c>
      <c r="F61" s="106">
        <f>+IFERROR(F60/E60-1,"n/a")</f>
        <v>0.1467207120319991</v>
      </c>
      <c r="G61" s="106">
        <f>+IFERROR(G60/F60-1,"n/a")</f>
        <v>0.33161687923204508</v>
      </c>
      <c r="H61" s="106">
        <f>+IFERROR(H60/G60-1,"n/a")</f>
        <v>0.11298799577259588</v>
      </c>
      <c r="I61" s="106">
        <f>+IFERROR(I60/H60-1,"n/a")</f>
        <v>0.10089486668581893</v>
      </c>
      <c r="J61" s="138">
        <v>0.15</v>
      </c>
      <c r="K61" s="138">
        <f>+J61-0.4%</f>
        <v>0.14599999999999999</v>
      </c>
      <c r="L61" s="138">
        <f t="shared" ref="L61:U61" si="43">+K61-0.4%</f>
        <v>0.14199999999999999</v>
      </c>
      <c r="M61" s="138">
        <f t="shared" si="43"/>
        <v>0.13799999999999998</v>
      </c>
      <c r="N61" s="138">
        <f t="shared" si="43"/>
        <v>0.13399999999999998</v>
      </c>
      <c r="O61" s="138">
        <f t="shared" si="43"/>
        <v>0.12999999999999998</v>
      </c>
      <c r="P61" s="138">
        <f t="shared" si="43"/>
        <v>0.12599999999999997</v>
      </c>
      <c r="Q61" s="138">
        <f t="shared" si="43"/>
        <v>0.12199999999999997</v>
      </c>
      <c r="R61" s="138">
        <f t="shared" si="43"/>
        <v>0.11799999999999997</v>
      </c>
      <c r="S61" s="138">
        <f t="shared" si="43"/>
        <v>0.11399999999999996</v>
      </c>
      <c r="T61" s="138">
        <f t="shared" si="43"/>
        <v>0.10999999999999996</v>
      </c>
      <c r="U61" s="138">
        <f t="shared" si="43"/>
        <v>0.10599999999999996</v>
      </c>
    </row>
    <row r="62" spans="2:26" x14ac:dyDescent="0.2">
      <c r="B62" s="60" t="s">
        <v>454</v>
      </c>
      <c r="D62" s="107">
        <f>+IFERROR(D60/D54,"n/a")</f>
        <v>0.42631647527725697</v>
      </c>
      <c r="E62" s="107">
        <f t="shared" ref="E62:U62" si="44">+IFERROR(E60/E54,"n/a")</f>
        <v>0.47123295777095869</v>
      </c>
      <c r="F62" s="107">
        <f t="shared" si="44"/>
        <v>0.55154385516118387</v>
      </c>
      <c r="G62" s="107">
        <f t="shared" si="44"/>
        <v>0.59498455533434524</v>
      </c>
      <c r="H62" s="107">
        <f t="shared" si="44"/>
        <v>0.61452465435837356</v>
      </c>
      <c r="I62" s="107">
        <f t="shared" si="44"/>
        <v>0.64125785538863556</v>
      </c>
      <c r="J62" s="107">
        <f t="shared" si="44"/>
        <v>0.67716911366436638</v>
      </c>
      <c r="K62" s="107">
        <f t="shared" si="44"/>
        <v>0.71038872995904057</v>
      </c>
      <c r="L62" s="107">
        <f t="shared" si="44"/>
        <v>0.74082416464044643</v>
      </c>
      <c r="M62" s="107">
        <f t="shared" si="44"/>
        <v>0.76847703552499669</v>
      </c>
      <c r="N62" s="107">
        <f t="shared" si="44"/>
        <v>0.7934233693026721</v>
      </c>
      <c r="O62" s="107">
        <f t="shared" si="44"/>
        <v>0.81579380317938299</v>
      </c>
      <c r="P62" s="107">
        <f t="shared" si="44"/>
        <v>0.83575552304647327</v>
      </c>
      <c r="Q62" s="107">
        <f t="shared" si="44"/>
        <v>0.85349693698179729</v>
      </c>
      <c r="R62" s="107">
        <f t="shared" si="44"/>
        <v>0.86921544873621448</v>
      </c>
      <c r="S62" s="107">
        <f t="shared" si="44"/>
        <v>0.88310825561990536</v>
      </c>
      <c r="T62" s="107">
        <f t="shared" si="44"/>
        <v>0.89536583550108373</v>
      </c>
      <c r="U62" s="107">
        <f t="shared" si="44"/>
        <v>0.90616766933387005</v>
      </c>
    </row>
    <row r="63" spans="2:26" hidden="1" outlineLevel="1" x14ac:dyDescent="0.2">
      <c r="B63" s="60" t="s">
        <v>463</v>
      </c>
      <c r="D63" s="100">
        <f t="shared" ref="D63:I63" si="45">+D23</f>
        <v>113394.51757847</v>
      </c>
      <c r="E63" s="100">
        <f t="shared" si="45"/>
        <v>137029.45388507002</v>
      </c>
      <c r="F63" s="100">
        <f t="shared" si="45"/>
        <v>160270.79950567998</v>
      </c>
      <c r="G63" s="100">
        <f t="shared" si="45"/>
        <v>220623.37798967998</v>
      </c>
      <c r="H63" s="100">
        <f t="shared" si="45"/>
        <v>246414.8889209</v>
      </c>
      <c r="I63" s="100">
        <f t="shared" si="45"/>
        <v>270802.38569131505</v>
      </c>
      <c r="J63" s="107"/>
      <c r="K63" s="107"/>
      <c r="L63" s="107"/>
      <c r="M63" s="107"/>
      <c r="N63" s="107"/>
      <c r="O63" s="107"/>
      <c r="P63" s="107"/>
      <c r="Q63" s="107"/>
      <c r="R63" s="107"/>
      <c r="S63" s="107"/>
      <c r="T63" s="107"/>
      <c r="U63" s="107"/>
    </row>
    <row r="64" spans="2:26" collapsed="1" x14ac:dyDescent="0.2">
      <c r="B64" s="60" t="s">
        <v>461</v>
      </c>
      <c r="D64" s="107">
        <f t="shared" ref="D64:I64" si="46">+D63/D57</f>
        <v>0.49690652739633057</v>
      </c>
      <c r="E64" s="107">
        <f t="shared" si="46"/>
        <v>0.55530587131003584</v>
      </c>
      <c r="F64" s="107">
        <f t="shared" si="46"/>
        <v>0.64080829688004315</v>
      </c>
      <c r="G64" s="107">
        <f t="shared" si="46"/>
        <v>0.70007098927453548</v>
      </c>
      <c r="H64" s="107">
        <f t="shared" si="46"/>
        <v>0.71963222882333455</v>
      </c>
      <c r="I64" s="107">
        <f t="shared" si="46"/>
        <v>0.75499159031890484</v>
      </c>
      <c r="J64" s="107"/>
      <c r="K64" s="107"/>
      <c r="L64" s="107"/>
      <c r="M64" s="107"/>
      <c r="N64" s="107"/>
      <c r="O64" s="107"/>
      <c r="P64" s="107"/>
      <c r="Q64" s="107"/>
      <c r="R64" s="107"/>
      <c r="S64" s="107"/>
      <c r="T64" s="107"/>
      <c r="U64" s="107"/>
    </row>
    <row r="65" spans="2:26" x14ac:dyDescent="0.2">
      <c r="B65" s="60"/>
      <c r="D65" s="107"/>
      <c r="E65" s="107"/>
      <c r="F65" s="107"/>
      <c r="G65" s="107"/>
      <c r="H65" s="107"/>
      <c r="I65" s="107"/>
    </row>
    <row r="66" spans="2:26" x14ac:dyDescent="0.2">
      <c r="B66" s="62" t="s">
        <v>19</v>
      </c>
      <c r="D66" s="107"/>
      <c r="E66" s="107"/>
      <c r="F66" s="107"/>
      <c r="G66" s="107"/>
      <c r="H66" s="107"/>
      <c r="I66" s="107"/>
    </row>
    <row r="67" spans="2:26" x14ac:dyDescent="0.2">
      <c r="B67" s="60" t="s">
        <v>455</v>
      </c>
      <c r="D67" s="100">
        <f t="shared" ref="D67:I67" si="47">+D54-D60</f>
        <v>290915.16804216988</v>
      </c>
      <c r="E67" s="100">
        <f t="shared" si="47"/>
        <v>286101.81390258006</v>
      </c>
      <c r="F67" s="100">
        <f t="shared" si="47"/>
        <v>237733.00283085997</v>
      </c>
      <c r="G67" s="100">
        <f t="shared" si="47"/>
        <v>265029.81356004998</v>
      </c>
      <c r="H67" s="100">
        <f t="shared" si="47"/>
        <v>271816.99962438003</v>
      </c>
      <c r="I67" s="100">
        <f t="shared" si="47"/>
        <v>266879.28627997963</v>
      </c>
      <c r="J67" s="100">
        <f t="shared" ref="J67:U67" si="48">+I67*(1+J68)</f>
        <v>261541.70055438002</v>
      </c>
      <c r="K67" s="100">
        <f t="shared" si="48"/>
        <v>256310.86654329242</v>
      </c>
      <c r="L67" s="100">
        <f t="shared" si="48"/>
        <v>251184.64921242656</v>
      </c>
      <c r="M67" s="100">
        <f t="shared" si="48"/>
        <v>246160.95622817802</v>
      </c>
      <c r="N67" s="100">
        <f t="shared" si="48"/>
        <v>241237.73710361446</v>
      </c>
      <c r="O67" s="100">
        <f t="shared" si="48"/>
        <v>236412.98236154218</v>
      </c>
      <c r="P67" s="100">
        <f t="shared" si="48"/>
        <v>231684.72271431133</v>
      </c>
      <c r="Q67" s="100">
        <f t="shared" si="48"/>
        <v>227051.02826002511</v>
      </c>
      <c r="R67" s="100">
        <f t="shared" si="48"/>
        <v>222510.0076948246</v>
      </c>
      <c r="S67" s="100">
        <f t="shared" si="48"/>
        <v>218059.8075409281</v>
      </c>
      <c r="T67" s="100">
        <f t="shared" si="48"/>
        <v>213698.61139010952</v>
      </c>
      <c r="U67" s="100">
        <f t="shared" si="48"/>
        <v>209424.63916230734</v>
      </c>
      <c r="W67" s="106">
        <f>+IFERROR((I67/D67)^0.2-1,"n/a")</f>
        <v>-1.7099173186583383E-2</v>
      </c>
      <c r="X67" s="106">
        <f>+IFERROR((J67/D67)^(1/6)-1,"n/a")</f>
        <v>-1.7583239923431693E-2</v>
      </c>
      <c r="Y67" s="106">
        <f>+IFERROR((O67/J67)^(1/5)-1,"n/a")</f>
        <v>-2.0000000000000018E-2</v>
      </c>
      <c r="Z67" s="106">
        <f>+IFERROR((T67/J67)^(1/10)-1,"n/a")</f>
        <v>-2.0000000000000018E-2</v>
      </c>
    </row>
    <row r="68" spans="2:26" x14ac:dyDescent="0.2">
      <c r="B68" s="101" t="s">
        <v>17</v>
      </c>
      <c r="D68" s="107"/>
      <c r="E68" s="106">
        <f>+IFERROR(E67/D67-1,"n/a")</f>
        <v>-1.6545559215709549E-2</v>
      </c>
      <c r="F68" s="106">
        <f>+IFERROR(F67/E67-1,"n/a")</f>
        <v>-0.16906153236829902</v>
      </c>
      <c r="G68" s="106">
        <f>+IFERROR(G67/F67-1,"n/a")</f>
        <v>0.11482129281230202</v>
      </c>
      <c r="H68" s="106">
        <f>+IFERROR(H67/G67-1,"n/a")</f>
        <v>2.5609141753375697E-2</v>
      </c>
      <c r="I68" s="106">
        <f>+IFERROR(I67/H67-1,"n/a")</f>
        <v>-1.8165579604012105E-2</v>
      </c>
      <c r="J68" s="138">
        <v>-0.02</v>
      </c>
      <c r="K68" s="138">
        <v>-0.02</v>
      </c>
      <c r="L68" s="138">
        <v>-0.02</v>
      </c>
      <c r="M68" s="138">
        <v>-0.02</v>
      </c>
      <c r="N68" s="138">
        <v>-0.02</v>
      </c>
      <c r="O68" s="138">
        <v>-0.02</v>
      </c>
      <c r="P68" s="138">
        <v>-0.02</v>
      </c>
      <c r="Q68" s="138">
        <v>-0.02</v>
      </c>
      <c r="R68" s="138">
        <v>-0.02</v>
      </c>
      <c r="S68" s="138">
        <v>-0.02</v>
      </c>
      <c r="T68" s="138">
        <v>-0.02</v>
      </c>
      <c r="U68" s="138">
        <v>-0.02</v>
      </c>
    </row>
    <row r="70" spans="2:26" s="44" customFormat="1" x14ac:dyDescent="0.2">
      <c r="B70" s="44" t="s">
        <v>449</v>
      </c>
      <c r="D70" s="111">
        <f>+D82</f>
        <v>55012</v>
      </c>
      <c r="E70" s="111">
        <f t="shared" ref="E70:J70" si="49">+E82</f>
        <v>69655</v>
      </c>
      <c r="F70" s="111">
        <f t="shared" si="49"/>
        <v>84060</v>
      </c>
      <c r="G70" s="111">
        <f t="shared" si="49"/>
        <v>114934</v>
      </c>
      <c r="H70" s="111">
        <f t="shared" si="49"/>
        <v>113641</v>
      </c>
      <c r="I70" s="111">
        <f t="shared" si="49"/>
        <v>131948</v>
      </c>
      <c r="J70" s="111">
        <f t="shared" si="49"/>
        <v>159149.98549899654</v>
      </c>
      <c r="K70" s="111">
        <f>+K73*K60</f>
        <v>187101.17858425976</v>
      </c>
      <c r="L70" s="111">
        <f t="shared" ref="L70:U70" si="50">+L73*L60</f>
        <v>219054.41306437654</v>
      </c>
      <c r="M70" s="111">
        <f t="shared" si="50"/>
        <v>255411.90085113139</v>
      </c>
      <c r="N70" s="111">
        <f t="shared" si="50"/>
        <v>296586.22350609262</v>
      </c>
      <c r="O70" s="111">
        <f t="shared" si="50"/>
        <v>342994.94713511248</v>
      </c>
      <c r="P70" s="111">
        <f t="shared" si="50"/>
        <v>395054.24188359111</v>
      </c>
      <c r="Q70" s="111">
        <f t="shared" si="50"/>
        <v>453171.50643479719</v>
      </c>
      <c r="R70" s="111">
        <f t="shared" si="50"/>
        <v>517737.02758639737</v>
      </c>
      <c r="S70" s="111">
        <f t="shared" si="50"/>
        <v>589114.73843026231</v>
      </c>
      <c r="T70" s="111">
        <f t="shared" si="50"/>
        <v>667632.17522349849</v>
      </c>
      <c r="U70" s="111">
        <f t="shared" si="50"/>
        <v>753569.77181308286</v>
      </c>
      <c r="W70" s="237">
        <f>+IFERROR((I70/D70)^0.2-1,"n/a")</f>
        <v>0.19121204318511387</v>
      </c>
      <c r="X70" s="237">
        <f>+IFERROR((J70/D70)^(1/6)-1,"n/a")</f>
        <v>0.19368992454747791</v>
      </c>
      <c r="Y70" s="237">
        <f>+IFERROR((O70/J70)^(1/5)-1,"n/a")</f>
        <v>0.16599375338595967</v>
      </c>
      <c r="Z70" s="237">
        <f>+IFERROR((T70/J70)^(1/10)-1,"n/a")</f>
        <v>0.15417872718523906</v>
      </c>
    </row>
    <row r="71" spans="2:26" x14ac:dyDescent="0.2">
      <c r="B71" s="60" t="s">
        <v>17</v>
      </c>
      <c r="E71" s="106">
        <f t="shared" ref="E71:U71" si="51">+IFERROR(E70/D70-1,"n/a")</f>
        <v>0.26617828837344581</v>
      </c>
      <c r="F71" s="106">
        <f t="shared" si="51"/>
        <v>0.20680496733902798</v>
      </c>
      <c r="G71" s="106">
        <f t="shared" si="51"/>
        <v>0.36728527242445863</v>
      </c>
      <c r="H71" s="106">
        <f t="shared" si="51"/>
        <v>-1.1249934745158119E-2</v>
      </c>
      <c r="I71" s="106">
        <f t="shared" si="51"/>
        <v>0.16109502732288528</v>
      </c>
      <c r="J71" s="106">
        <f t="shared" si="51"/>
        <v>0.20615686102856068</v>
      </c>
      <c r="K71" s="106">
        <f t="shared" si="51"/>
        <v>0.17562799643132521</v>
      </c>
      <c r="L71" s="106">
        <f t="shared" si="51"/>
        <v>0.17078050882360873</v>
      </c>
      <c r="M71" s="106">
        <f t="shared" si="51"/>
        <v>0.16597468765018664</v>
      </c>
      <c r="N71" s="106">
        <f t="shared" si="51"/>
        <v>0.1612075338610004</v>
      </c>
      <c r="O71" s="106">
        <f t="shared" si="51"/>
        <v>0.15647632948152257</v>
      </c>
      <c r="P71" s="106">
        <f t="shared" si="51"/>
        <v>0.15177860543808963</v>
      </c>
      <c r="Q71" s="106">
        <f t="shared" si="51"/>
        <v>0.14711211370394861</v>
      </c>
      <c r="R71" s="106">
        <f t="shared" si="51"/>
        <v>0.14247480310391025</v>
      </c>
      <c r="S71" s="106">
        <f t="shared" si="51"/>
        <v>0.13786479822896913</v>
      </c>
      <c r="T71" s="106">
        <f t="shared" si="51"/>
        <v>0.13328038100430395</v>
      </c>
      <c r="U71" s="106">
        <f t="shared" si="51"/>
        <v>0.1287199745291121</v>
      </c>
    </row>
    <row r="72" spans="2:26" x14ac:dyDescent="0.2">
      <c r="B72" s="60" t="s">
        <v>18</v>
      </c>
      <c r="E72" s="106">
        <f t="shared" ref="E72:J72" si="52">+E32</f>
        <v>0.29642623427615789</v>
      </c>
      <c r="F72" s="106">
        <f t="shared" si="52"/>
        <v>0.20864259564998933</v>
      </c>
      <c r="G72" s="106">
        <f t="shared" si="52"/>
        <v>0.34801332381632166</v>
      </c>
      <c r="H72" s="106">
        <f t="shared" si="52"/>
        <v>4.0049071641115708E-2</v>
      </c>
      <c r="I72" s="106">
        <f t="shared" si="52"/>
        <v>0.15775996339349363</v>
      </c>
      <c r="J72" s="106">
        <f t="shared" si="52"/>
        <v>0.21585121646899319</v>
      </c>
      <c r="K72" s="106">
        <f t="shared" ref="K72:U72" si="53">+K71</f>
        <v>0.17562799643132521</v>
      </c>
      <c r="L72" s="106">
        <f t="shared" si="53"/>
        <v>0.17078050882360873</v>
      </c>
      <c r="M72" s="106">
        <f t="shared" si="53"/>
        <v>0.16597468765018664</v>
      </c>
      <c r="N72" s="106">
        <f t="shared" si="53"/>
        <v>0.1612075338610004</v>
      </c>
      <c r="O72" s="106">
        <f t="shared" si="53"/>
        <v>0.15647632948152257</v>
      </c>
      <c r="P72" s="106">
        <f t="shared" si="53"/>
        <v>0.15177860543808963</v>
      </c>
      <c r="Q72" s="106">
        <f t="shared" si="53"/>
        <v>0.14711211370394861</v>
      </c>
      <c r="R72" s="106">
        <f t="shared" si="53"/>
        <v>0.14247480310391025</v>
      </c>
      <c r="S72" s="106">
        <f t="shared" si="53"/>
        <v>0.13786479822896913</v>
      </c>
      <c r="T72" s="106">
        <f t="shared" si="53"/>
        <v>0.13328038100430395</v>
      </c>
      <c r="U72" s="106">
        <f t="shared" si="53"/>
        <v>0.1287199745291121</v>
      </c>
    </row>
    <row r="73" spans="2:26" ht="10.15" x14ac:dyDescent="0.2">
      <c r="B73" s="60" t="s">
        <v>448</v>
      </c>
      <c r="D73" s="107">
        <f t="shared" ref="D73:J73" si="54">+IFERROR(D70/D60,"n/a")</f>
        <v>0.25446691811044064</v>
      </c>
      <c r="E73" s="107">
        <f t="shared" si="54"/>
        <v>0.27318723723773564</v>
      </c>
      <c r="F73" s="107">
        <f t="shared" si="54"/>
        <v>0.28750131697536224</v>
      </c>
      <c r="G73" s="107">
        <f t="shared" si="54"/>
        <v>0.29520226322885817</v>
      </c>
      <c r="H73" s="107">
        <f t="shared" si="54"/>
        <v>0.26225013939013525</v>
      </c>
      <c r="I73" s="107">
        <f t="shared" si="54"/>
        <v>0.27659074628741925</v>
      </c>
      <c r="J73" s="171">
        <f t="shared" si="54"/>
        <v>0.29009724028833106</v>
      </c>
      <c r="K73" s="183">
        <f>+J73+0.75%</f>
        <v>0.29759724028833107</v>
      </c>
      <c r="L73" s="183">
        <f t="shared" ref="L73:U73" si="55">+K73+0.75%</f>
        <v>0.30509724028833107</v>
      </c>
      <c r="M73" s="183">
        <f t="shared" si="55"/>
        <v>0.31259724028833108</v>
      </c>
      <c r="N73" s="183">
        <f t="shared" si="55"/>
        <v>0.32009724028833109</v>
      </c>
      <c r="O73" s="183">
        <f t="shared" si="55"/>
        <v>0.32759724028833109</v>
      </c>
      <c r="P73" s="183">
        <f t="shared" si="55"/>
        <v>0.3350972402883311</v>
      </c>
      <c r="Q73" s="183">
        <f t="shared" si="55"/>
        <v>0.34259724028833111</v>
      </c>
      <c r="R73" s="183">
        <f t="shared" si="55"/>
        <v>0.35009724028833111</v>
      </c>
      <c r="S73" s="183">
        <f t="shared" si="55"/>
        <v>0.35759724028833112</v>
      </c>
      <c r="T73" s="183">
        <f t="shared" si="55"/>
        <v>0.36509724028833113</v>
      </c>
      <c r="U73" s="183">
        <f t="shared" si="55"/>
        <v>0.37259724028833113</v>
      </c>
    </row>
    <row r="74" spans="2:26" ht="10.15" x14ac:dyDescent="0.2">
      <c r="B74" s="60" t="s">
        <v>454</v>
      </c>
      <c r="D74" s="171">
        <f>+IFERROR(D70/D54,"n/a")</f>
        <v>0.10848343960350945</v>
      </c>
      <c r="E74" s="171">
        <f t="shared" ref="E74:U74" si="56">+IFERROR(E70/E54,"n/a")</f>
        <v>0.12873482982881476</v>
      </c>
      <c r="F74" s="171">
        <f t="shared" si="56"/>
        <v>0.15856958472850882</v>
      </c>
      <c r="G74" s="171">
        <f t="shared" si="56"/>
        <v>0.17564078732091451</v>
      </c>
      <c r="H74" s="171">
        <f t="shared" si="56"/>
        <v>0.16115917626415815</v>
      </c>
      <c r="I74" s="171">
        <f t="shared" si="56"/>
        <v>0.17736598878461271</v>
      </c>
      <c r="J74" s="171">
        <f t="shared" si="56"/>
        <v>0.19644489108252788</v>
      </c>
      <c r="K74" s="171">
        <f t="shared" si="56"/>
        <v>0.21140972556774293</v>
      </c>
      <c r="L74" s="171">
        <f t="shared" si="56"/>
        <v>0.22602340817070843</v>
      </c>
      <c r="M74" s="171">
        <f t="shared" si="56"/>
        <v>0.24022380053007172</v>
      </c>
      <c r="N74" s="171">
        <f t="shared" si="56"/>
        <v>0.2539726308940547</v>
      </c>
      <c r="O74" s="171">
        <f t="shared" si="56"/>
        <v>0.26725179856588782</v>
      </c>
      <c r="P74" s="171">
        <f t="shared" si="56"/>
        <v>0.28005936932860387</v>
      </c>
      <c r="Q74" s="171">
        <f t="shared" si="56"/>
        <v>0.29240569520450743</v>
      </c>
      <c r="R74" s="171">
        <f t="shared" si="56"/>
        <v>0.30430992981853205</v>
      </c>
      <c r="S74" s="171">
        <f t="shared" si="56"/>
        <v>0.31579707508552024</v>
      </c>
      <c r="T74" s="171">
        <f t="shared" si="56"/>
        <v>0.32689559558990156</v>
      </c>
      <c r="U74" s="171">
        <f t="shared" si="56"/>
        <v>0.33763557283230899</v>
      </c>
    </row>
    <row r="75" spans="2:26" ht="10.15" x14ac:dyDescent="0.2">
      <c r="B75" s="60" t="s">
        <v>446</v>
      </c>
      <c r="D75" s="171">
        <f t="shared" ref="D75:U75" si="57">+IFERROR(D70/D50,"n/a")</f>
        <v>1.2697186039730209E-3</v>
      </c>
      <c r="E75" s="171">
        <f t="shared" si="57"/>
        <v>1.5883119505684152E-3</v>
      </c>
      <c r="F75" s="171">
        <f t="shared" si="57"/>
        <v>2.0135606546156019E-3</v>
      </c>
      <c r="G75" s="171">
        <f t="shared" si="57"/>
        <v>2.4616106218307982E-3</v>
      </c>
      <c r="H75" s="171">
        <f t="shared" si="57"/>
        <v>2.3078298422006733E-3</v>
      </c>
      <c r="I75" s="171">
        <f t="shared" si="57"/>
        <v>2.5765478400832315E-3</v>
      </c>
      <c r="J75" s="171">
        <f t="shared" si="57"/>
        <v>2.9881931298891429E-3</v>
      </c>
      <c r="K75" s="171">
        <f t="shared" si="57"/>
        <v>3.3778879829244458E-3</v>
      </c>
      <c r="L75" s="171">
        <f t="shared" si="57"/>
        <v>3.8026590494206116E-3</v>
      </c>
      <c r="M75" s="171">
        <f t="shared" si="57"/>
        <v>4.2632732667195698E-3</v>
      </c>
      <c r="N75" s="171">
        <f t="shared" si="57"/>
        <v>4.7601394579066944E-3</v>
      </c>
      <c r="O75" s="171">
        <f t="shared" si="57"/>
        <v>5.2932582770193262E-3</v>
      </c>
      <c r="P75" s="171">
        <f t="shared" si="57"/>
        <v>5.8621746505085996E-3</v>
      </c>
      <c r="Q75" s="171">
        <f t="shared" si="57"/>
        <v>6.4659341867756024E-3</v>
      </c>
      <c r="R75" s="171">
        <f t="shared" si="57"/>
        <v>7.1030450835762489E-3</v>
      </c>
      <c r="S75" s="171">
        <f t="shared" si="57"/>
        <v>7.7714470777257311E-3</v>
      </c>
      <c r="T75" s="171">
        <f t="shared" si="57"/>
        <v>8.4684889473074995E-3</v>
      </c>
      <c r="U75" s="171">
        <f t="shared" si="57"/>
        <v>9.1909159893317199E-3</v>
      </c>
    </row>
    <row r="76" spans="2:26" hidden="1" outlineLevel="1" x14ac:dyDescent="0.2">
      <c r="B76" s="60" t="s">
        <v>464</v>
      </c>
      <c r="D76" s="100">
        <f t="shared" ref="D76:I76" si="58">+D36</f>
        <v>1749134.2838529078</v>
      </c>
      <c r="E76" s="100">
        <f t="shared" si="58"/>
        <v>1947848.9804642804</v>
      </c>
      <c r="F76" s="100">
        <f t="shared" si="58"/>
        <v>1934671.2601674711</v>
      </c>
      <c r="G76" s="100">
        <f t="shared" si="58"/>
        <v>2466224.1276889062</v>
      </c>
      <c r="H76" s="100">
        <f t="shared" si="58"/>
        <v>2822208.1307979971</v>
      </c>
      <c r="I76" s="100">
        <f t="shared" si="58"/>
        <v>3080414.2670297064</v>
      </c>
      <c r="J76" s="171"/>
      <c r="K76" s="171"/>
      <c r="L76" s="171"/>
      <c r="M76" s="171"/>
      <c r="N76" s="171"/>
      <c r="O76" s="171"/>
      <c r="P76" s="171"/>
      <c r="Q76" s="171"/>
      <c r="R76" s="171"/>
      <c r="S76" s="171"/>
      <c r="T76" s="171"/>
      <c r="U76" s="171"/>
    </row>
    <row r="77" spans="2:26" ht="10.15" collapsed="1" x14ac:dyDescent="0.2">
      <c r="B77" s="60" t="s">
        <v>468</v>
      </c>
      <c r="D77" s="171">
        <f t="shared" ref="D77:I77" si="59">+D70/D76</f>
        <v>3.1450987215699784E-2</v>
      </c>
      <c r="E77" s="171">
        <f t="shared" si="59"/>
        <v>3.5759959164491976E-2</v>
      </c>
      <c r="F77" s="171">
        <f t="shared" si="59"/>
        <v>4.3449242117094097E-2</v>
      </c>
      <c r="G77" s="171">
        <f t="shared" si="59"/>
        <v>4.6603225842131564E-2</v>
      </c>
      <c r="H77" s="171">
        <f t="shared" si="59"/>
        <v>4.0266697115590583E-2</v>
      </c>
      <c r="I77" s="171">
        <f t="shared" si="59"/>
        <v>4.2834498402460341E-2</v>
      </c>
      <c r="J77" s="171"/>
      <c r="K77" s="171"/>
      <c r="L77" s="171"/>
      <c r="M77" s="171"/>
      <c r="N77" s="171"/>
      <c r="O77" s="171"/>
      <c r="P77" s="171"/>
      <c r="Q77" s="171"/>
      <c r="R77" s="171"/>
      <c r="S77" s="171"/>
      <c r="T77" s="171"/>
      <c r="U77" s="171"/>
    </row>
    <row r="79" spans="2:26" x14ac:dyDescent="0.2">
      <c r="B79" t="s">
        <v>450</v>
      </c>
      <c r="D79" s="64">
        <f>+D83</f>
        <v>826</v>
      </c>
      <c r="E79" s="64">
        <f t="shared" ref="E79:J79" si="60">+E83</f>
        <v>1042</v>
      </c>
      <c r="F79" s="64">
        <f t="shared" si="60"/>
        <v>1906</v>
      </c>
      <c r="G79" s="64">
        <f t="shared" si="60"/>
        <v>2995</v>
      </c>
      <c r="H79" s="64">
        <f t="shared" si="60"/>
        <v>2968</v>
      </c>
      <c r="I79" s="64">
        <f t="shared" si="60"/>
        <v>2953</v>
      </c>
      <c r="J79" s="64">
        <f t="shared" si="60"/>
        <v>3811.5</v>
      </c>
      <c r="K79" s="64">
        <f t="shared" ref="K79:U79" si="61">+J79*(1+K80)</f>
        <v>4192.6500000000005</v>
      </c>
      <c r="L79" s="64">
        <f t="shared" si="61"/>
        <v>4611.9150000000009</v>
      </c>
      <c r="M79" s="64">
        <f t="shared" si="61"/>
        <v>5073.1065000000017</v>
      </c>
      <c r="N79" s="64">
        <f t="shared" si="61"/>
        <v>5580.417150000002</v>
      </c>
      <c r="O79" s="64">
        <f t="shared" si="61"/>
        <v>6138.4588650000023</v>
      </c>
      <c r="P79" s="64">
        <f t="shared" si="61"/>
        <v>6752.3047515000035</v>
      </c>
      <c r="Q79" s="64">
        <f t="shared" si="61"/>
        <v>7427.535226650004</v>
      </c>
      <c r="R79" s="64">
        <f t="shared" si="61"/>
        <v>8170.2887493150047</v>
      </c>
      <c r="S79" s="64">
        <f t="shared" si="61"/>
        <v>8987.3176242465051</v>
      </c>
      <c r="T79" s="64">
        <f t="shared" si="61"/>
        <v>9886.0493866711568</v>
      </c>
      <c r="U79" s="64">
        <f t="shared" si="61"/>
        <v>10874.654325338273</v>
      </c>
      <c r="W79" s="99">
        <f>+IFERROR((I79/D79)^0.2-1,"n/a")</f>
        <v>0.2901989375576175</v>
      </c>
      <c r="X79" s="99">
        <f>+IFERROR((J79/D79)^(1/6)-1,"n/a")</f>
        <v>0.29028598334365996</v>
      </c>
      <c r="Y79" s="99">
        <f>+IFERROR((O79/J79)^(1/5)-1,"n/a")</f>
        <v>0.10000000000000009</v>
      </c>
      <c r="Z79" s="99">
        <f>+IFERROR((T79/J79)^(1/10)-1,"n/a")</f>
        <v>0.10000000000000009</v>
      </c>
    </row>
    <row r="80" spans="2:26" x14ac:dyDescent="0.2">
      <c r="B80" s="60" t="s">
        <v>17</v>
      </c>
      <c r="E80" s="106">
        <f t="shared" ref="E80:J80" si="62">+IFERROR(E79/D79-1,"n/a")</f>
        <v>0.26150121065375309</v>
      </c>
      <c r="F80" s="106">
        <f t="shared" si="62"/>
        <v>0.82917466410748553</v>
      </c>
      <c r="G80" s="106">
        <f t="shared" si="62"/>
        <v>0.5713536201469045</v>
      </c>
      <c r="H80" s="106">
        <f t="shared" si="62"/>
        <v>-9.0150250417362354E-3</v>
      </c>
      <c r="I80" s="106">
        <f t="shared" si="62"/>
        <v>-5.0539083557951114E-3</v>
      </c>
      <c r="J80" s="106">
        <f t="shared" si="62"/>
        <v>0.29072130037250243</v>
      </c>
      <c r="K80" s="138">
        <v>0.1</v>
      </c>
      <c r="L80" s="138">
        <v>0.1</v>
      </c>
      <c r="M80" s="138">
        <v>0.1</v>
      </c>
      <c r="N80" s="138">
        <v>0.1</v>
      </c>
      <c r="O80" s="138">
        <v>0.1</v>
      </c>
      <c r="P80" s="138">
        <v>0.1</v>
      </c>
      <c r="Q80" s="138">
        <v>0.1</v>
      </c>
      <c r="R80" s="138">
        <v>0.1</v>
      </c>
      <c r="S80" s="138">
        <v>0.1</v>
      </c>
      <c r="T80" s="138">
        <v>0.1</v>
      </c>
      <c r="U80" s="138">
        <v>0.1</v>
      </c>
    </row>
    <row r="82" spans="2:26" x14ac:dyDescent="0.2">
      <c r="B82" t="s">
        <v>449</v>
      </c>
      <c r="D82" s="80">
        <f t="shared" ref="D82:I83" si="63">+D42</f>
        <v>55012</v>
      </c>
      <c r="E82" s="80">
        <f t="shared" si="63"/>
        <v>69655</v>
      </c>
      <c r="F82" s="80">
        <f t="shared" si="63"/>
        <v>84060</v>
      </c>
      <c r="G82" s="80">
        <f t="shared" si="63"/>
        <v>114934</v>
      </c>
      <c r="H82" s="80">
        <f t="shared" si="63"/>
        <v>113641</v>
      </c>
      <c r="I82" s="80">
        <f t="shared" si="63"/>
        <v>131948</v>
      </c>
      <c r="J82" s="80">
        <f>+J42</f>
        <v>159149.98549899654</v>
      </c>
      <c r="K82" s="64">
        <f>+K70</f>
        <v>187101.17858425976</v>
      </c>
      <c r="L82" s="64">
        <f t="shared" ref="L82:U82" si="64">+L70</f>
        <v>219054.41306437654</v>
      </c>
      <c r="M82" s="64">
        <f t="shared" si="64"/>
        <v>255411.90085113139</v>
      </c>
      <c r="N82" s="64">
        <f t="shared" si="64"/>
        <v>296586.22350609262</v>
      </c>
      <c r="O82" s="64">
        <f t="shared" si="64"/>
        <v>342994.94713511248</v>
      </c>
      <c r="P82" s="64">
        <f t="shared" si="64"/>
        <v>395054.24188359111</v>
      </c>
      <c r="Q82" s="64">
        <f t="shared" si="64"/>
        <v>453171.50643479719</v>
      </c>
      <c r="R82" s="64">
        <f t="shared" si="64"/>
        <v>517737.02758639737</v>
      </c>
      <c r="S82" s="64">
        <f t="shared" si="64"/>
        <v>589114.73843026231</v>
      </c>
      <c r="T82" s="64">
        <f t="shared" si="64"/>
        <v>667632.17522349849</v>
      </c>
      <c r="U82" s="64">
        <f t="shared" si="64"/>
        <v>753569.77181308286</v>
      </c>
      <c r="W82" s="99">
        <f>+IFERROR((I82/D82)^0.2-1,"n/a")</f>
        <v>0.19121204318511387</v>
      </c>
      <c r="X82" s="99">
        <f>+IFERROR((J82/D82)^(1/6)-1,"n/a")</f>
        <v>0.19368992454747791</v>
      </c>
      <c r="Y82" s="99">
        <f>+IFERROR((O82/J82)^(1/5)-1,"n/a")</f>
        <v>0.16599375338595967</v>
      </c>
      <c r="Z82" s="99">
        <f>+IFERROR((T82/J82)^(1/10)-1,"n/a")</f>
        <v>0.15417872718523906</v>
      </c>
    </row>
    <row r="83" spans="2:26" ht="13.5" x14ac:dyDescent="0.35">
      <c r="B83" t="s">
        <v>450</v>
      </c>
      <c r="D83" s="72">
        <f t="shared" si="63"/>
        <v>826</v>
      </c>
      <c r="E83" s="72">
        <f t="shared" si="63"/>
        <v>1042</v>
      </c>
      <c r="F83" s="72">
        <f t="shared" si="63"/>
        <v>1906</v>
      </c>
      <c r="G83" s="72">
        <f t="shared" si="63"/>
        <v>2995</v>
      </c>
      <c r="H83" s="72">
        <f t="shared" si="63"/>
        <v>2968</v>
      </c>
      <c r="I83" s="72">
        <f t="shared" si="63"/>
        <v>2953</v>
      </c>
      <c r="J83" s="72">
        <f>+J43</f>
        <v>3811.5</v>
      </c>
      <c r="K83" s="65">
        <f>+K79</f>
        <v>4192.6500000000005</v>
      </c>
      <c r="L83" s="65">
        <f t="shared" ref="L83:U83" si="65">+L79</f>
        <v>4611.9150000000009</v>
      </c>
      <c r="M83" s="65">
        <f t="shared" si="65"/>
        <v>5073.1065000000017</v>
      </c>
      <c r="N83" s="65">
        <f t="shared" si="65"/>
        <v>5580.417150000002</v>
      </c>
      <c r="O83" s="65">
        <f t="shared" si="65"/>
        <v>6138.4588650000023</v>
      </c>
      <c r="P83" s="65">
        <f t="shared" si="65"/>
        <v>6752.3047515000035</v>
      </c>
      <c r="Q83" s="65">
        <f t="shared" si="65"/>
        <v>7427.535226650004</v>
      </c>
      <c r="R83" s="65">
        <f t="shared" si="65"/>
        <v>8170.2887493150047</v>
      </c>
      <c r="S83" s="65">
        <f t="shared" si="65"/>
        <v>8987.3176242465051</v>
      </c>
      <c r="T83" s="65">
        <f t="shared" si="65"/>
        <v>9886.0493866711568</v>
      </c>
      <c r="U83" s="65">
        <f t="shared" si="65"/>
        <v>10874.654325338273</v>
      </c>
      <c r="W83" s="122">
        <f>+IFERROR((I83/D83)^0.2-1,"n/a")</f>
        <v>0.2901989375576175</v>
      </c>
      <c r="X83" s="122">
        <f>+IFERROR((J83/D83)^(1/6)-1,"n/a")</f>
        <v>0.29028598334365996</v>
      </c>
      <c r="Y83" s="122">
        <f>+IFERROR((O83/J83)^(1/5)-1,"n/a")</f>
        <v>0.10000000000000009</v>
      </c>
      <c r="Z83" s="122">
        <f>+IFERROR((T83/J83)^(1/10)-1,"n/a")</f>
        <v>0.10000000000000009</v>
      </c>
    </row>
    <row r="84" spans="2:26" s="44" customFormat="1" x14ac:dyDescent="0.2">
      <c r="B84" s="110" t="s">
        <v>450</v>
      </c>
      <c r="D84" s="111">
        <f>SUM(D82:D83)</f>
        <v>55838</v>
      </c>
      <c r="E84" s="111">
        <f t="shared" ref="E84:J84" si="66">SUM(E82:E83)</f>
        <v>70697</v>
      </c>
      <c r="F84" s="111">
        <f t="shared" si="66"/>
        <v>85966</v>
      </c>
      <c r="G84" s="111">
        <f t="shared" si="66"/>
        <v>117929</v>
      </c>
      <c r="H84" s="111">
        <f t="shared" si="66"/>
        <v>116609</v>
      </c>
      <c r="I84" s="111">
        <f t="shared" si="66"/>
        <v>134901</v>
      </c>
      <c r="J84" s="111">
        <f t="shared" si="66"/>
        <v>162961.48549899654</v>
      </c>
      <c r="K84" s="111">
        <f t="shared" ref="K84:U84" si="67">SUM(K82:K83)</f>
        <v>191293.82858425975</v>
      </c>
      <c r="L84" s="111">
        <f t="shared" si="67"/>
        <v>223666.32806437655</v>
      </c>
      <c r="M84" s="111">
        <f t="shared" si="67"/>
        <v>260485.00735113138</v>
      </c>
      <c r="N84" s="111">
        <f t="shared" si="67"/>
        <v>302166.64065609261</v>
      </c>
      <c r="O84" s="111">
        <f t="shared" si="67"/>
        <v>349133.40600011247</v>
      </c>
      <c r="P84" s="111">
        <f t="shared" si="67"/>
        <v>401806.54663509113</v>
      </c>
      <c r="Q84" s="111">
        <f t="shared" si="67"/>
        <v>460599.04166144721</v>
      </c>
      <c r="R84" s="111">
        <f t="shared" si="67"/>
        <v>525907.31633571233</v>
      </c>
      <c r="S84" s="111">
        <f t="shared" si="67"/>
        <v>598102.05605450878</v>
      </c>
      <c r="T84" s="111">
        <f t="shared" si="67"/>
        <v>677518.22461016965</v>
      </c>
      <c r="U84" s="111">
        <f t="shared" si="67"/>
        <v>764444.42613842117</v>
      </c>
      <c r="W84" s="237">
        <f>+IFERROR((I84/D84)^0.2-1,"n/a")</f>
        <v>0.1929357752166676</v>
      </c>
      <c r="X84" s="237">
        <f>+IFERROR((J84/D84)^(1/6)-1,"n/a")</f>
        <v>0.19543468741766645</v>
      </c>
      <c r="Y84" s="237">
        <f>+IFERROR((O84/J84)^(1/5)-1,"n/a")</f>
        <v>0.16461206802105655</v>
      </c>
      <c r="Z84" s="237">
        <f>+IFERROR((T84/J84)^(1/10)-1,"n/a")</f>
        <v>0.15314415150273186</v>
      </c>
    </row>
    <row r="85" spans="2:26" x14ac:dyDescent="0.2">
      <c r="B85" s="101" t="s">
        <v>17</v>
      </c>
      <c r="E85" s="106">
        <f t="shared" ref="E85:U85" si="68">+IFERROR(E84/D84-1,"n/a")</f>
        <v>0.26610910132884413</v>
      </c>
      <c r="F85" s="106">
        <f t="shared" si="68"/>
        <v>0.21597804715900248</v>
      </c>
      <c r="G85" s="106">
        <f t="shared" si="68"/>
        <v>0.37180978526394148</v>
      </c>
      <c r="H85" s="106">
        <f t="shared" si="68"/>
        <v>-1.1193175554782941E-2</v>
      </c>
      <c r="I85" s="106">
        <f t="shared" si="68"/>
        <v>0.15686610810486323</v>
      </c>
      <c r="J85" s="106">
        <f t="shared" si="68"/>
        <v>0.20800798733142489</v>
      </c>
      <c r="K85" s="106">
        <f t="shared" si="68"/>
        <v>0.17385913609285097</v>
      </c>
      <c r="L85" s="106">
        <f t="shared" si="68"/>
        <v>0.16922918904233009</v>
      </c>
      <c r="M85" s="106">
        <f t="shared" si="68"/>
        <v>0.16461431457021791</v>
      </c>
      <c r="N85" s="106">
        <f t="shared" si="68"/>
        <v>0.16001547931230742</v>
      </c>
      <c r="O85" s="106">
        <f t="shared" si="68"/>
        <v>0.15543332395012643</v>
      </c>
      <c r="P85" s="106">
        <f t="shared" si="68"/>
        <v>0.15086823469124488</v>
      </c>
      <c r="Q85" s="106">
        <f t="shared" si="68"/>
        <v>0.14632040099573018</v>
      </c>
      <c r="R85" s="106">
        <f t="shared" si="68"/>
        <v>0.14178986226000112</v>
      </c>
      <c r="S85" s="106">
        <f t="shared" si="68"/>
        <v>0.13727654565031955</v>
      </c>
      <c r="T85" s="106">
        <f t="shared" si="68"/>
        <v>0.13278029686027892</v>
      </c>
      <c r="U85" s="106">
        <f t="shared" si="68"/>
        <v>0.1283009052313937</v>
      </c>
    </row>
    <row r="86" spans="2:26" x14ac:dyDescent="0.2">
      <c r="B86" s="101" t="s">
        <v>18</v>
      </c>
      <c r="E86" s="120">
        <f t="shared" ref="E86:J86" si="69">+E46</f>
        <v>0.29599914037035702</v>
      </c>
      <c r="F86" s="120">
        <f t="shared" si="69"/>
        <v>0.21766128690043418</v>
      </c>
      <c r="G86" s="120">
        <f t="shared" si="69"/>
        <v>0.35273247562990018</v>
      </c>
      <c r="H86" s="120">
        <f t="shared" si="69"/>
        <v>3.9320268975400419E-2</v>
      </c>
      <c r="I86" s="120">
        <f t="shared" si="69"/>
        <v>0.15366738416417247</v>
      </c>
      <c r="J86" s="120">
        <f t="shared" si="69"/>
        <v>0.21759645962594809</v>
      </c>
      <c r="K86" s="106">
        <f t="shared" ref="K86:U86" si="70">+K85</f>
        <v>0.17385913609285097</v>
      </c>
      <c r="L86" s="106">
        <f t="shared" si="70"/>
        <v>0.16922918904233009</v>
      </c>
      <c r="M86" s="106">
        <f t="shared" si="70"/>
        <v>0.16461431457021791</v>
      </c>
      <c r="N86" s="106">
        <f t="shared" si="70"/>
        <v>0.16001547931230742</v>
      </c>
      <c r="O86" s="106">
        <f t="shared" si="70"/>
        <v>0.15543332395012643</v>
      </c>
      <c r="P86" s="106">
        <f t="shared" si="70"/>
        <v>0.15086823469124488</v>
      </c>
      <c r="Q86" s="106">
        <f t="shared" si="70"/>
        <v>0.14632040099573018</v>
      </c>
      <c r="R86" s="106">
        <f t="shared" si="70"/>
        <v>0.14178986226000112</v>
      </c>
      <c r="S86" s="106">
        <f t="shared" si="70"/>
        <v>0.13727654565031955</v>
      </c>
      <c r="T86" s="106">
        <f t="shared" si="70"/>
        <v>0.13278029686027892</v>
      </c>
      <c r="U86" s="106">
        <f t="shared" si="70"/>
        <v>0.1283009052313937</v>
      </c>
    </row>
    <row r="87" spans="2:26" x14ac:dyDescent="0.2">
      <c r="B87" s="101"/>
      <c r="E87" s="197"/>
      <c r="F87" s="197"/>
      <c r="G87" s="197"/>
      <c r="H87" s="197"/>
      <c r="I87" s="197"/>
      <c r="J87" s="197"/>
    </row>
    <row r="88" spans="2:26" x14ac:dyDescent="0.2">
      <c r="B88" s="52" t="s">
        <v>458</v>
      </c>
      <c r="C88" s="53"/>
    </row>
    <row r="90" spans="2:26" x14ac:dyDescent="0.2">
      <c r="B90" t="s">
        <v>444</v>
      </c>
      <c r="D90" s="80">
        <f>+D50</f>
        <v>43326135.277426325</v>
      </c>
      <c r="E90" s="80">
        <f>+E50</f>
        <v>43854735.19548367</v>
      </c>
      <c r="F90" s="80">
        <f>+F50</f>
        <v>41746942.068674579</v>
      </c>
      <c r="G90" s="80">
        <f>+G50</f>
        <v>46690568.760431737</v>
      </c>
      <c r="H90" s="80">
        <f>+H50</f>
        <v>49241498.624368057</v>
      </c>
      <c r="I90" s="80">
        <f t="shared" ref="I90:U90" si="71">+H90*(1+I91)</f>
        <v>51211158.569342777</v>
      </c>
      <c r="J90" s="80">
        <f t="shared" si="71"/>
        <v>52747493.326423064</v>
      </c>
      <c r="K90" s="80">
        <f t="shared" si="71"/>
        <v>54329918.126215756</v>
      </c>
      <c r="L90" s="80">
        <f t="shared" si="71"/>
        <v>55959815.67000223</v>
      </c>
      <c r="M90" s="80">
        <f t="shared" si="71"/>
        <v>57638610.140102297</v>
      </c>
      <c r="N90" s="80">
        <f t="shared" si="71"/>
        <v>59367768.444305368</v>
      </c>
      <c r="O90" s="80">
        <f t="shared" si="71"/>
        <v>61148801.49763453</v>
      </c>
      <c r="P90" s="80">
        <f t="shared" si="71"/>
        <v>62983265.542563565</v>
      </c>
      <c r="Q90" s="80">
        <f t="shared" si="71"/>
        <v>64872763.508840472</v>
      </c>
      <c r="R90" s="80">
        <f t="shared" si="71"/>
        <v>66818946.414105691</v>
      </c>
      <c r="S90" s="80">
        <f t="shared" si="71"/>
        <v>68823514.806528866</v>
      </c>
      <c r="T90" s="80">
        <f t="shared" si="71"/>
        <v>70888220.250724733</v>
      </c>
      <c r="U90" s="80">
        <f t="shared" si="71"/>
        <v>73014866.858246475</v>
      </c>
      <c r="W90" s="99">
        <f>+IFERROR((I90/D90)^0.2-1,"n/a")</f>
        <v>3.4005693151165417E-2</v>
      </c>
      <c r="X90" s="99">
        <f>+IFERROR((J90/D90)^(1/6)-1,"n/a")</f>
        <v>3.3336997437100946E-2</v>
      </c>
      <c r="Y90" s="99">
        <f>+IFERROR((O90/J90)^(1/5)-1,"n/a")</f>
        <v>3.0000000000000027E-2</v>
      </c>
      <c r="Z90" s="99">
        <f>+IFERROR((T90/J90)^(1/10)-1,"n/a")</f>
        <v>3.0000000000000027E-2</v>
      </c>
    </row>
    <row r="91" spans="2:26" x14ac:dyDescent="0.2">
      <c r="B91" s="60" t="s">
        <v>17</v>
      </c>
      <c r="E91" s="106">
        <f>+IFERROR(E90/D90-1,"n/a")</f>
        <v>1.2200486257835097E-2</v>
      </c>
      <c r="F91" s="106">
        <f>+IFERROR(F90/E90-1,"n/a")</f>
        <v>-4.8063068159311495E-2</v>
      </c>
      <c r="G91" s="106">
        <f>+IFERROR(G90/F90-1,"n/a")</f>
        <v>0.118418893619197</v>
      </c>
      <c r="H91" s="106">
        <f>+IFERROR(H90/G90-1,"n/a")</f>
        <v>5.4634799525040689E-2</v>
      </c>
      <c r="I91" s="138">
        <v>0.04</v>
      </c>
      <c r="J91" s="138">
        <v>0.03</v>
      </c>
      <c r="K91" s="138">
        <v>0.03</v>
      </c>
      <c r="L91" s="138">
        <v>0.03</v>
      </c>
      <c r="M91" s="138">
        <v>0.03</v>
      </c>
      <c r="N91" s="138">
        <v>0.03</v>
      </c>
      <c r="O91" s="138">
        <v>0.03</v>
      </c>
      <c r="P91" s="138">
        <v>0.03</v>
      </c>
      <c r="Q91" s="138">
        <v>0.03</v>
      </c>
      <c r="R91" s="138">
        <v>0.03</v>
      </c>
      <c r="S91" s="138">
        <v>0.03</v>
      </c>
      <c r="T91" s="138">
        <v>0.03</v>
      </c>
      <c r="U91" s="138">
        <v>0.03</v>
      </c>
    </row>
    <row r="92" spans="2:26" hidden="1" outlineLevel="1" x14ac:dyDescent="0.2">
      <c r="B92" s="60" t="s">
        <v>459</v>
      </c>
      <c r="D92" s="100">
        <f t="shared" ref="D92:I92" si="72">+D52</f>
        <v>13934442</v>
      </c>
      <c r="E92" s="100">
        <f t="shared" si="72"/>
        <v>14417614</v>
      </c>
      <c r="F92" s="100">
        <f t="shared" si="72"/>
        <v>14206231</v>
      </c>
      <c r="G92" s="100">
        <f t="shared" si="72"/>
        <v>16042964</v>
      </c>
      <c r="H92" s="100">
        <f t="shared" si="72"/>
        <v>17511745</v>
      </c>
      <c r="I92" s="100">
        <f t="shared" si="72"/>
        <v>18212214.800000001</v>
      </c>
      <c r="J92" s="138"/>
      <c r="K92" s="138"/>
      <c r="L92" s="138"/>
      <c r="M92" s="138"/>
      <c r="N92" s="138"/>
      <c r="O92" s="138"/>
      <c r="P92" s="138"/>
      <c r="Q92" s="138"/>
      <c r="R92" s="138"/>
      <c r="S92" s="138"/>
      <c r="T92" s="138"/>
      <c r="U92" s="138"/>
    </row>
    <row r="93" spans="2:26" collapsed="1" x14ac:dyDescent="0.2"/>
    <row r="94" spans="2:26" x14ac:dyDescent="0.2">
      <c r="B94" t="s">
        <v>453</v>
      </c>
      <c r="D94" s="80">
        <f t="shared" ref="D94:I94" si="73">+D54</f>
        <v>507100.4404087899</v>
      </c>
      <c r="E94" s="80">
        <f t="shared" si="73"/>
        <v>541073.46156921005</v>
      </c>
      <c r="F94" s="80">
        <f t="shared" si="73"/>
        <v>530114.27219110995</v>
      </c>
      <c r="G94" s="80">
        <f t="shared" si="73"/>
        <v>654369.64701145003</v>
      </c>
      <c r="H94" s="80">
        <f t="shared" si="73"/>
        <v>705147.56053189002</v>
      </c>
      <c r="I94" s="80">
        <f t="shared" si="73"/>
        <v>743930.67636114394</v>
      </c>
      <c r="J94" s="80">
        <f t="shared" ref="J94:U94" si="74">+I94*(1+J95)</f>
        <v>788566.5169428126</v>
      </c>
      <c r="K94" s="80">
        <f t="shared" si="74"/>
        <v>835880.50795938144</v>
      </c>
      <c r="L94" s="80">
        <f t="shared" si="74"/>
        <v>886033.33843694441</v>
      </c>
      <c r="M94" s="80">
        <f t="shared" si="74"/>
        <v>939195.33874316118</v>
      </c>
      <c r="N94" s="80">
        <f t="shared" si="74"/>
        <v>995547.05906775093</v>
      </c>
      <c r="O94" s="80">
        <f t="shared" si="74"/>
        <v>1055279.8826118161</v>
      </c>
      <c r="P94" s="80">
        <f t="shared" si="74"/>
        <v>1118596.675568525</v>
      </c>
      <c r="Q94" s="80">
        <f t="shared" si="74"/>
        <v>1185712.4761026364</v>
      </c>
      <c r="R94" s="80">
        <f t="shared" si="74"/>
        <v>1256855.2246687948</v>
      </c>
      <c r="S94" s="80">
        <f t="shared" si="74"/>
        <v>1332266.5381489226</v>
      </c>
      <c r="T94" s="80">
        <f t="shared" si="74"/>
        <v>1412202.5304378581</v>
      </c>
      <c r="U94" s="80">
        <f t="shared" si="74"/>
        <v>1496934.6822641296</v>
      </c>
      <c r="W94" s="99">
        <f>+IFERROR((I94/D94)^0.2-1,"n/a")</f>
        <v>7.966170121913696E-2</v>
      </c>
      <c r="X94" s="99">
        <f>+IFERROR((J94/D94)^(1/6)-1,"n/a")</f>
        <v>7.6359605470319059E-2</v>
      </c>
      <c r="Y94" s="99">
        <f>+IFERROR((O94/J94)^(1/5)-1,"n/a")</f>
        <v>6.0000000000000053E-2</v>
      </c>
      <c r="Z94" s="99">
        <f>+IFERROR((T94/J94)^(1/10)-1,"n/a")</f>
        <v>6.0000000000000053E-2</v>
      </c>
    </row>
    <row r="95" spans="2:26" x14ac:dyDescent="0.2">
      <c r="B95" s="60" t="s">
        <v>17</v>
      </c>
      <c r="E95" s="106">
        <f>+IFERROR(E94/D94-1,"n/a")</f>
        <v>6.6994659150825031E-2</v>
      </c>
      <c r="F95" s="106">
        <f>+IFERROR(F94/E94-1,"n/a")</f>
        <v>-2.0254531327994707E-2</v>
      </c>
      <c r="G95" s="106">
        <f>+IFERROR(G94/F94-1,"n/a")</f>
        <v>0.23439356632817665</v>
      </c>
      <c r="H95" s="106">
        <f>+IFERROR(H94/G94-1,"n/a")</f>
        <v>7.7598210357626041E-2</v>
      </c>
      <c r="I95" s="106">
        <f>+IFERROR(I94/H94-1,"n/a")</f>
        <v>5.4999999999999938E-2</v>
      </c>
      <c r="J95" s="138">
        <v>0.06</v>
      </c>
      <c r="K95" s="138">
        <v>0.06</v>
      </c>
      <c r="L95" s="138">
        <v>0.06</v>
      </c>
      <c r="M95" s="138">
        <v>0.06</v>
      </c>
      <c r="N95" s="138">
        <v>0.06</v>
      </c>
      <c r="O95" s="138">
        <v>0.06</v>
      </c>
      <c r="P95" s="138">
        <v>0.06</v>
      </c>
      <c r="Q95" s="138">
        <v>0.06</v>
      </c>
      <c r="R95" s="138">
        <v>0.06</v>
      </c>
      <c r="S95" s="138">
        <v>0.06</v>
      </c>
      <c r="T95" s="138">
        <v>0.06</v>
      </c>
      <c r="U95" s="138">
        <v>0.06</v>
      </c>
    </row>
    <row r="96" spans="2:26" x14ac:dyDescent="0.2">
      <c r="B96" s="60" t="s">
        <v>446</v>
      </c>
      <c r="D96" s="107">
        <f>+IFERROR(D94/D90,"n/a")</f>
        <v>1.1704262038645254E-2</v>
      </c>
      <c r="E96" s="107">
        <f t="shared" ref="E96:U96" si="75">+IFERROR(E94/E90,"n/a")</f>
        <v>1.2337857226987244E-2</v>
      </c>
      <c r="F96" s="107">
        <f t="shared" si="75"/>
        <v>1.269827790785397E-2</v>
      </c>
      <c r="G96" s="107">
        <f t="shared" si="75"/>
        <v>1.4015028396184378E-2</v>
      </c>
      <c r="H96" s="107">
        <f t="shared" si="75"/>
        <v>1.4320188869778526E-2</v>
      </c>
      <c r="I96" s="107">
        <f t="shared" si="75"/>
        <v>1.4526730055400332E-2</v>
      </c>
      <c r="J96" s="107">
        <f t="shared" si="75"/>
        <v>1.4949838697790631E-2</v>
      </c>
      <c r="K96" s="107">
        <f t="shared" si="75"/>
        <v>1.5385270892871913E-2</v>
      </c>
      <c r="L96" s="107">
        <f t="shared" si="75"/>
        <v>1.5833385579072067E-2</v>
      </c>
      <c r="M96" s="107">
        <f t="shared" si="75"/>
        <v>1.6294552149336304E-2</v>
      </c>
      <c r="N96" s="107">
        <f t="shared" si="75"/>
        <v>1.6769150755627654E-2</v>
      </c>
      <c r="O96" s="107">
        <f t="shared" si="75"/>
        <v>1.7257572622296422E-2</v>
      </c>
      <c r="P96" s="107">
        <f t="shared" si="75"/>
        <v>1.7760220368576898E-2</v>
      </c>
      <c r="Q96" s="107">
        <f t="shared" si="75"/>
        <v>1.8277508340477196E-2</v>
      </c>
      <c r="R96" s="107">
        <f t="shared" si="75"/>
        <v>1.8809862952335756E-2</v>
      </c>
      <c r="S96" s="107">
        <f t="shared" si="75"/>
        <v>1.935772303832612E-2</v>
      </c>
      <c r="T96" s="107">
        <f t="shared" si="75"/>
        <v>1.9921540214199698E-2</v>
      </c>
      <c r="U96" s="107">
        <f t="shared" si="75"/>
        <v>2.0501779249564738E-2</v>
      </c>
    </row>
    <row r="97" spans="2:26" hidden="1" outlineLevel="1" x14ac:dyDescent="0.2">
      <c r="B97" s="60" t="s">
        <v>462</v>
      </c>
      <c r="D97" s="100">
        <f t="shared" ref="D97:I97" si="76">+D57</f>
        <v>228200.90163160002</v>
      </c>
      <c r="E97" s="100">
        <f t="shared" si="76"/>
        <v>246763.92050708999</v>
      </c>
      <c r="F97" s="100">
        <f t="shared" si="76"/>
        <v>250107.24780874999</v>
      </c>
      <c r="G97" s="100">
        <f t="shared" si="76"/>
        <v>315144.29446405999</v>
      </c>
      <c r="H97" s="100">
        <f t="shared" si="76"/>
        <v>342417.80600044999</v>
      </c>
      <c r="I97" s="100">
        <f t="shared" si="76"/>
        <v>358682.65178547142</v>
      </c>
      <c r="J97" s="107"/>
      <c r="K97" s="107"/>
      <c r="L97" s="107"/>
      <c r="M97" s="107"/>
      <c r="N97" s="107"/>
      <c r="O97" s="107"/>
      <c r="P97" s="107"/>
      <c r="Q97" s="107"/>
      <c r="R97" s="107"/>
      <c r="S97" s="107"/>
      <c r="T97" s="107"/>
      <c r="U97" s="107"/>
    </row>
    <row r="98" spans="2:26" collapsed="1" x14ac:dyDescent="0.2">
      <c r="B98" s="60" t="s">
        <v>460</v>
      </c>
      <c r="D98" s="171">
        <f t="shared" ref="D98:I98" si="77">IFERROR(D97/D92,"n/a")</f>
        <v>1.6376752053049559E-2</v>
      </c>
      <c r="E98" s="171">
        <f t="shared" si="77"/>
        <v>1.7115447847826277E-2</v>
      </c>
      <c r="F98" s="171">
        <f t="shared" si="77"/>
        <v>1.7605461139464085E-2</v>
      </c>
      <c r="G98" s="171">
        <f t="shared" si="77"/>
        <v>1.9643769970689954E-2</v>
      </c>
      <c r="H98" s="171">
        <f t="shared" si="77"/>
        <v>1.9553608506773595E-2</v>
      </c>
      <c r="I98" s="171">
        <f t="shared" si="77"/>
        <v>1.9694620106582062E-2</v>
      </c>
      <c r="J98" s="107"/>
      <c r="K98" s="107"/>
      <c r="L98" s="107"/>
      <c r="M98" s="107"/>
      <c r="N98" s="107"/>
      <c r="O98" s="107"/>
      <c r="P98" s="107"/>
      <c r="Q98" s="107"/>
      <c r="R98" s="107"/>
      <c r="S98" s="107"/>
      <c r="T98" s="107"/>
      <c r="U98" s="107"/>
    </row>
    <row r="100" spans="2:26" x14ac:dyDescent="0.2">
      <c r="B100" t="s">
        <v>447</v>
      </c>
      <c r="D100" s="80">
        <f t="shared" ref="D100:I100" si="78">+D60</f>
        <v>216185.27236661999</v>
      </c>
      <c r="E100" s="80">
        <f t="shared" si="78"/>
        <v>254971.64766663002</v>
      </c>
      <c r="F100" s="80">
        <f t="shared" si="78"/>
        <v>292381.26936024998</v>
      </c>
      <c r="G100" s="80">
        <f t="shared" si="78"/>
        <v>389339.83345140005</v>
      </c>
      <c r="H100" s="80">
        <f t="shared" si="78"/>
        <v>433330.56090750999</v>
      </c>
      <c r="I100" s="80">
        <f t="shared" si="78"/>
        <v>477051.39008116431</v>
      </c>
      <c r="J100" s="80">
        <f>+I100*(1+J101)</f>
        <v>534297.55689090409</v>
      </c>
      <c r="K100" s="80">
        <f>+K94-K107</f>
        <v>586696.9271085111</v>
      </c>
      <c r="L100" s="80">
        <f t="shared" ref="L100:U100" si="79">+L94-L107</f>
        <v>641833.42920309154</v>
      </c>
      <c r="M100" s="80">
        <f t="shared" si="79"/>
        <v>699879.4276939854</v>
      </c>
      <c r="N100" s="80">
        <f t="shared" si="79"/>
        <v>761017.46623955865</v>
      </c>
      <c r="O100" s="80">
        <f t="shared" si="79"/>
        <v>825440.88164018758</v>
      </c>
      <c r="P100" s="80">
        <f t="shared" si="79"/>
        <v>893354.45461632905</v>
      </c>
      <c r="Q100" s="80">
        <f t="shared" si="79"/>
        <v>964975.09956948448</v>
      </c>
      <c r="R100" s="80">
        <f t="shared" si="79"/>
        <v>1040532.5956663059</v>
      </c>
      <c r="S100" s="80">
        <f t="shared" si="79"/>
        <v>1120270.3617264833</v>
      </c>
      <c r="T100" s="80">
        <f t="shared" si="79"/>
        <v>1204446.2775438677</v>
      </c>
      <c r="U100" s="80">
        <f t="shared" si="79"/>
        <v>1293333.5544280191</v>
      </c>
      <c r="W100" s="99">
        <f>+IFERROR((I100/D100)^0.2-1,"n/a")</f>
        <v>0.17151488840799733</v>
      </c>
      <c r="X100" s="99">
        <f>+IFERROR((J100/D100)^(1/6)-1,"n/a")</f>
        <v>0.16276740053039496</v>
      </c>
      <c r="Y100" s="99">
        <f>+IFERROR((O100/J100)^(1/5)-1,"n/a")</f>
        <v>9.0888986560809792E-2</v>
      </c>
      <c r="Z100" s="99">
        <f>+IFERROR((T100/J100)^(1/10)-1,"n/a")</f>
        <v>8.4676983186856791E-2</v>
      </c>
    </row>
    <row r="101" spans="2:26" x14ac:dyDescent="0.2">
      <c r="B101" s="60" t="s">
        <v>17</v>
      </c>
      <c r="E101" s="106">
        <f>+IFERROR(E100/D100-1,"n/a")</f>
        <v>0.17941266246034449</v>
      </c>
      <c r="F101" s="106">
        <f>+IFERROR(F100/E100-1,"n/a")</f>
        <v>0.1467207120319991</v>
      </c>
      <c r="G101" s="106">
        <f>+IFERROR(G100/F100-1,"n/a")</f>
        <v>0.33161687923204508</v>
      </c>
      <c r="H101" s="106">
        <f>+IFERROR(H100/G100-1,"n/a")</f>
        <v>0.11298799577259588</v>
      </c>
      <c r="I101" s="106">
        <f>+IFERROR(I100/H100-1,"n/a")</f>
        <v>0.10089486668581893</v>
      </c>
      <c r="J101" s="138">
        <v>0.12</v>
      </c>
      <c r="K101" s="106">
        <f t="shared" ref="K101:U101" si="80">+IFERROR(K100/J100-1,"n/a")</f>
        <v>9.8071513788160924E-2</v>
      </c>
      <c r="L101" s="106">
        <f t="shared" si="80"/>
        <v>9.3977826620494254E-2</v>
      </c>
      <c r="M101" s="106">
        <f t="shared" si="80"/>
        <v>9.0437792501653513E-2</v>
      </c>
      <c r="N101" s="106">
        <f t="shared" si="80"/>
        <v>8.7355101645172573E-2</v>
      </c>
      <c r="O101" s="106">
        <f t="shared" si="80"/>
        <v>8.4654319064405348E-2</v>
      </c>
      <c r="P101" s="106">
        <f t="shared" si="80"/>
        <v>8.2275514196963773E-2</v>
      </c>
      <c r="Q101" s="106">
        <f t="shared" si="80"/>
        <v>8.017046826493357E-2</v>
      </c>
      <c r="R101" s="106">
        <f t="shared" si="80"/>
        <v>7.8299943833297636E-2</v>
      </c>
      <c r="S101" s="106">
        <f t="shared" si="80"/>
        <v>7.6631684958525792E-2</v>
      </c>
      <c r="T101" s="106">
        <f t="shared" si="80"/>
        <v>7.5138929577373004E-2</v>
      </c>
      <c r="U101" s="106">
        <f t="shared" si="80"/>
        <v>7.379928730853158E-2</v>
      </c>
    </row>
    <row r="102" spans="2:26" x14ac:dyDescent="0.2">
      <c r="B102" s="60" t="s">
        <v>454</v>
      </c>
      <c r="D102" s="107">
        <f>+IFERROR(D100/D94,"n/a")</f>
        <v>0.42631647527725697</v>
      </c>
      <c r="E102" s="107">
        <f t="shared" ref="E102:U102" si="81">+IFERROR(E100/E94,"n/a")</f>
        <v>0.47123295777095869</v>
      </c>
      <c r="F102" s="107">
        <f t="shared" si="81"/>
        <v>0.55154385516118387</v>
      </c>
      <c r="G102" s="107">
        <f t="shared" si="81"/>
        <v>0.59498455533434524</v>
      </c>
      <c r="H102" s="107">
        <f t="shared" si="81"/>
        <v>0.61452465435837356</v>
      </c>
      <c r="I102" s="107">
        <f t="shared" si="81"/>
        <v>0.64125785538863556</v>
      </c>
      <c r="J102" s="107">
        <f t="shared" si="81"/>
        <v>0.67755546984459614</v>
      </c>
      <c r="K102" s="107">
        <f t="shared" si="81"/>
        <v>0.70189090608273985</v>
      </c>
      <c r="L102" s="107">
        <f t="shared" si="81"/>
        <v>0.72438970562366523</v>
      </c>
      <c r="M102" s="107">
        <f t="shared" si="81"/>
        <v>0.74519048255772835</v>
      </c>
      <c r="N102" s="107">
        <f t="shared" si="81"/>
        <v>0.76442138953450356</v>
      </c>
      <c r="O102" s="107">
        <f t="shared" si="81"/>
        <v>0.78220090730548442</v>
      </c>
      <c r="P102" s="107">
        <f t="shared" si="81"/>
        <v>0.7986385746786554</v>
      </c>
      <c r="Q102" s="107">
        <f t="shared" si="81"/>
        <v>0.81383566338215307</v>
      </c>
      <c r="R102" s="107">
        <f t="shared" si="81"/>
        <v>0.82788580199482076</v>
      </c>
      <c r="S102" s="107">
        <f t="shared" si="81"/>
        <v>0.84087555278766446</v>
      </c>
      <c r="T102" s="107">
        <f t="shared" si="81"/>
        <v>0.85288494503010492</v>
      </c>
      <c r="U102" s="107">
        <f t="shared" si="81"/>
        <v>0.86398796804670086</v>
      </c>
    </row>
    <row r="103" spans="2:26" hidden="1" outlineLevel="1" x14ac:dyDescent="0.2">
      <c r="B103" s="60" t="s">
        <v>463</v>
      </c>
      <c r="D103" s="100">
        <f t="shared" ref="D103:I103" si="82">+D63</f>
        <v>113394.51757847</v>
      </c>
      <c r="E103" s="100">
        <f t="shared" si="82"/>
        <v>137029.45388507002</v>
      </c>
      <c r="F103" s="100">
        <f t="shared" si="82"/>
        <v>160270.79950567998</v>
      </c>
      <c r="G103" s="100">
        <f t="shared" si="82"/>
        <v>220623.37798967998</v>
      </c>
      <c r="H103" s="100">
        <f t="shared" si="82"/>
        <v>246414.8889209</v>
      </c>
      <c r="I103" s="100">
        <f t="shared" si="82"/>
        <v>270802.38569131505</v>
      </c>
      <c r="J103" s="107"/>
      <c r="K103" s="107"/>
      <c r="L103" s="107"/>
      <c r="M103" s="107"/>
      <c r="N103" s="107"/>
      <c r="O103" s="107"/>
      <c r="P103" s="107"/>
      <c r="Q103" s="107"/>
      <c r="R103" s="107"/>
      <c r="S103" s="107"/>
      <c r="T103" s="107"/>
      <c r="U103" s="107"/>
    </row>
    <row r="104" spans="2:26" collapsed="1" x14ac:dyDescent="0.2">
      <c r="B104" s="60" t="s">
        <v>461</v>
      </c>
      <c r="D104" s="107">
        <f t="shared" ref="D104:I104" si="83">+D103/D97</f>
        <v>0.49690652739633057</v>
      </c>
      <c r="E104" s="107">
        <f t="shared" si="83"/>
        <v>0.55530587131003584</v>
      </c>
      <c r="F104" s="107">
        <f t="shared" si="83"/>
        <v>0.64080829688004315</v>
      </c>
      <c r="G104" s="107">
        <f t="shared" si="83"/>
        <v>0.70007098927453548</v>
      </c>
      <c r="H104" s="107">
        <f t="shared" si="83"/>
        <v>0.71963222882333455</v>
      </c>
      <c r="I104" s="107">
        <f t="shared" si="83"/>
        <v>0.75499159031890484</v>
      </c>
      <c r="J104" s="107"/>
      <c r="K104" s="107"/>
      <c r="L104" s="107"/>
      <c r="M104" s="107"/>
      <c r="N104" s="107"/>
      <c r="O104" s="107"/>
      <c r="P104" s="107"/>
      <c r="Q104" s="107"/>
      <c r="R104" s="107"/>
      <c r="S104" s="107"/>
      <c r="T104" s="107"/>
      <c r="U104" s="107"/>
    </row>
    <row r="105" spans="2:26" x14ac:dyDescent="0.2">
      <c r="B105" s="60"/>
      <c r="D105" s="107"/>
      <c r="E105" s="107"/>
      <c r="F105" s="107"/>
      <c r="G105" s="107"/>
      <c r="H105" s="107"/>
      <c r="I105" s="107"/>
    </row>
    <row r="106" spans="2:26" x14ac:dyDescent="0.2">
      <c r="B106" s="62" t="s">
        <v>19</v>
      </c>
      <c r="D106" s="107"/>
      <c r="E106" s="107"/>
      <c r="F106" s="107"/>
      <c r="G106" s="107"/>
      <c r="H106" s="107"/>
      <c r="I106" s="107"/>
    </row>
    <row r="107" spans="2:26" x14ac:dyDescent="0.2">
      <c r="B107" s="60" t="s">
        <v>455</v>
      </c>
      <c r="D107" s="100">
        <f>+D94-D100</f>
        <v>290915.16804216988</v>
      </c>
      <c r="E107" s="100">
        <f t="shared" ref="E107:J107" si="84">+E94-E100</f>
        <v>286101.81390258006</v>
      </c>
      <c r="F107" s="100">
        <f t="shared" si="84"/>
        <v>237733.00283085997</v>
      </c>
      <c r="G107" s="100">
        <f t="shared" si="84"/>
        <v>265029.81356004998</v>
      </c>
      <c r="H107" s="100">
        <f t="shared" si="84"/>
        <v>271816.99962438003</v>
      </c>
      <c r="I107" s="100">
        <f t="shared" si="84"/>
        <v>266879.28627997963</v>
      </c>
      <c r="J107" s="100">
        <f t="shared" si="84"/>
        <v>254268.96005190851</v>
      </c>
      <c r="K107" s="100">
        <f t="shared" ref="K107:U107" si="85">+J107*(1+K108)</f>
        <v>249183.58085087032</v>
      </c>
      <c r="L107" s="100">
        <f t="shared" si="85"/>
        <v>244199.9092338529</v>
      </c>
      <c r="M107" s="100">
        <f t="shared" si="85"/>
        <v>239315.91104917583</v>
      </c>
      <c r="N107" s="100">
        <f t="shared" si="85"/>
        <v>234529.59282819231</v>
      </c>
      <c r="O107" s="100">
        <f t="shared" si="85"/>
        <v>229839.00097162847</v>
      </c>
      <c r="P107" s="100">
        <f t="shared" si="85"/>
        <v>225242.2209521959</v>
      </c>
      <c r="Q107" s="100">
        <f t="shared" si="85"/>
        <v>220737.37653315198</v>
      </c>
      <c r="R107" s="100">
        <f t="shared" si="85"/>
        <v>216322.62900248895</v>
      </c>
      <c r="S107" s="100">
        <f t="shared" si="85"/>
        <v>211996.17642243917</v>
      </c>
      <c r="T107" s="100">
        <f t="shared" si="85"/>
        <v>207756.25289399037</v>
      </c>
      <c r="U107" s="100">
        <f t="shared" si="85"/>
        <v>203601.12783611057</v>
      </c>
      <c r="W107" s="106">
        <f>+IFERROR((I107/D107)^0.2-1,"n/a")</f>
        <v>-1.7099173186583383E-2</v>
      </c>
      <c r="X107" s="106">
        <f>+IFERROR((J107/D107)^(1/6)-1,"n/a")</f>
        <v>-2.2189949511565055E-2</v>
      </c>
      <c r="Y107" s="106">
        <f>+IFERROR((O107/J107)^(1/5)-1,"n/a")</f>
        <v>-2.0000000000000018E-2</v>
      </c>
      <c r="Z107" s="106">
        <f>+IFERROR((T107/J107)^(1/10)-1,"n/a")</f>
        <v>-2.0000000000000018E-2</v>
      </c>
    </row>
    <row r="108" spans="2:26" x14ac:dyDescent="0.2">
      <c r="B108" s="101" t="s">
        <v>17</v>
      </c>
      <c r="D108" s="107"/>
      <c r="E108" s="106">
        <f t="shared" ref="E108:J108" si="86">+IFERROR(E107/D107-1,"n/a")</f>
        <v>-1.6545559215709549E-2</v>
      </c>
      <c r="F108" s="106">
        <f t="shared" si="86"/>
        <v>-0.16906153236829902</v>
      </c>
      <c r="G108" s="106">
        <f t="shared" si="86"/>
        <v>0.11482129281230202</v>
      </c>
      <c r="H108" s="106">
        <f t="shared" si="86"/>
        <v>2.5609141753375697E-2</v>
      </c>
      <c r="I108" s="106">
        <f t="shared" si="86"/>
        <v>-1.8165579604012105E-2</v>
      </c>
      <c r="J108" s="106">
        <f t="shared" si="86"/>
        <v>-4.7251048981155397E-2</v>
      </c>
      <c r="K108" s="138">
        <v>-0.02</v>
      </c>
      <c r="L108" s="138">
        <v>-0.02</v>
      </c>
      <c r="M108" s="138">
        <v>-0.02</v>
      </c>
      <c r="N108" s="138">
        <v>-0.02</v>
      </c>
      <c r="O108" s="138">
        <v>-0.02</v>
      </c>
      <c r="P108" s="138">
        <v>-0.02</v>
      </c>
      <c r="Q108" s="138">
        <v>-0.02</v>
      </c>
      <c r="R108" s="138">
        <v>-0.02</v>
      </c>
      <c r="S108" s="138">
        <v>-0.02</v>
      </c>
      <c r="T108" s="138">
        <v>-0.02</v>
      </c>
      <c r="U108" s="138">
        <v>-0.02</v>
      </c>
    </row>
    <row r="110" spans="2:26" s="44" customFormat="1" x14ac:dyDescent="0.2">
      <c r="B110" s="44" t="s">
        <v>449</v>
      </c>
      <c r="D110" s="111">
        <f>+D122</f>
        <v>55012</v>
      </c>
      <c r="E110" s="111">
        <f t="shared" ref="E110:J110" si="87">+E122</f>
        <v>69655</v>
      </c>
      <c r="F110" s="111">
        <f t="shared" si="87"/>
        <v>84060</v>
      </c>
      <c r="G110" s="111">
        <f t="shared" si="87"/>
        <v>114934</v>
      </c>
      <c r="H110" s="111">
        <f t="shared" si="87"/>
        <v>113641</v>
      </c>
      <c r="I110" s="111">
        <f t="shared" si="87"/>
        <v>131948</v>
      </c>
      <c r="J110" s="111">
        <f t="shared" si="87"/>
        <v>159149.98549899654</v>
      </c>
      <c r="K110" s="111">
        <f>+K113*K100</f>
        <v>174758.065496247</v>
      </c>
      <c r="L110" s="111">
        <f t="shared" ref="L110:U110" si="88">+L113*L100</f>
        <v>191181.44867598629</v>
      </c>
      <c r="M110" s="111">
        <f t="shared" si="88"/>
        <v>208471.47686151063</v>
      </c>
      <c r="N110" s="111">
        <f t="shared" si="88"/>
        <v>226682.52391286712</v>
      </c>
      <c r="O110" s="111">
        <f t="shared" si="88"/>
        <v>245872.17861851168</v>
      </c>
      <c r="P110" s="111">
        <f t="shared" si="88"/>
        <v>266101.43854107743</v>
      </c>
      <c r="Q110" s="111">
        <f t="shared" si="88"/>
        <v>287434.91547488805</v>
      </c>
      <c r="R110" s="111">
        <f t="shared" si="88"/>
        <v>309941.05321230041</v>
      </c>
      <c r="S110" s="111">
        <f t="shared" si="88"/>
        <v>333692.3583577791</v>
      </c>
      <c r="T110" s="111">
        <f t="shared" si="88"/>
        <v>358765.64497293177</v>
      </c>
      <c r="U110" s="111">
        <f t="shared" si="88"/>
        <v>385242.29388271982</v>
      </c>
      <c r="W110" s="237">
        <f>+IFERROR((I110/D110)^0.2-1,"n/a")</f>
        <v>0.19121204318511387</v>
      </c>
      <c r="X110" s="237">
        <f>+IFERROR((J110/D110)^(1/6)-1,"n/a")</f>
        <v>0.19368992454747791</v>
      </c>
      <c r="Y110" s="237">
        <f>+IFERROR((O110/J110)^(1/5)-1,"n/a")</f>
        <v>9.0888986560809792E-2</v>
      </c>
      <c r="Z110" s="237">
        <f>+IFERROR((T110/J110)^(1/10)-1,"n/a")</f>
        <v>8.4676983186856791E-2</v>
      </c>
    </row>
    <row r="111" spans="2:26" x14ac:dyDescent="0.2">
      <c r="B111" s="60" t="s">
        <v>17</v>
      </c>
      <c r="E111" s="106">
        <f t="shared" ref="E111:U111" si="89">+IFERROR(E110/D110-1,"n/a")</f>
        <v>0.26617828837344581</v>
      </c>
      <c r="F111" s="106">
        <f t="shared" si="89"/>
        <v>0.20680496733902798</v>
      </c>
      <c r="G111" s="106">
        <f t="shared" si="89"/>
        <v>0.36728527242445863</v>
      </c>
      <c r="H111" s="106">
        <f t="shared" si="89"/>
        <v>-1.1249934745158119E-2</v>
      </c>
      <c r="I111" s="106">
        <f t="shared" si="89"/>
        <v>0.16109502732288528</v>
      </c>
      <c r="J111" s="106">
        <f t="shared" si="89"/>
        <v>0.20615686102856068</v>
      </c>
      <c r="K111" s="106">
        <f t="shared" si="89"/>
        <v>9.8071513788160924E-2</v>
      </c>
      <c r="L111" s="106">
        <f t="shared" si="89"/>
        <v>9.3977826620494254E-2</v>
      </c>
      <c r="M111" s="106">
        <f t="shared" si="89"/>
        <v>9.0437792501653291E-2</v>
      </c>
      <c r="N111" s="106">
        <f t="shared" si="89"/>
        <v>8.7355101645172573E-2</v>
      </c>
      <c r="O111" s="106">
        <f t="shared" si="89"/>
        <v>8.4654319064405348E-2</v>
      </c>
      <c r="P111" s="106">
        <f t="shared" si="89"/>
        <v>8.2275514196963773E-2</v>
      </c>
      <c r="Q111" s="106">
        <f t="shared" si="89"/>
        <v>8.017046826493357E-2</v>
      </c>
      <c r="R111" s="106">
        <f t="shared" si="89"/>
        <v>7.8299943833297414E-2</v>
      </c>
      <c r="S111" s="106">
        <f t="shared" si="89"/>
        <v>7.6631684958525792E-2</v>
      </c>
      <c r="T111" s="106">
        <f t="shared" si="89"/>
        <v>7.5138929577373004E-2</v>
      </c>
      <c r="U111" s="106">
        <f t="shared" si="89"/>
        <v>7.379928730853158E-2</v>
      </c>
    </row>
    <row r="112" spans="2:26" x14ac:dyDescent="0.2">
      <c r="B112" s="60" t="s">
        <v>18</v>
      </c>
      <c r="E112" s="106">
        <f t="shared" ref="E112:J112" si="90">+E72</f>
        <v>0.29642623427615789</v>
      </c>
      <c r="F112" s="106">
        <f t="shared" si="90"/>
        <v>0.20864259564998933</v>
      </c>
      <c r="G112" s="106">
        <f t="shared" si="90"/>
        <v>0.34801332381632166</v>
      </c>
      <c r="H112" s="106">
        <f t="shared" si="90"/>
        <v>4.0049071641115708E-2</v>
      </c>
      <c r="I112" s="106">
        <f t="shared" si="90"/>
        <v>0.15775996339349363</v>
      </c>
      <c r="J112" s="106">
        <f t="shared" si="90"/>
        <v>0.21585121646899319</v>
      </c>
      <c r="K112" s="106">
        <f t="shared" ref="K112:U112" si="91">+K111</f>
        <v>9.8071513788160924E-2</v>
      </c>
      <c r="L112" s="106">
        <f t="shared" si="91"/>
        <v>9.3977826620494254E-2</v>
      </c>
      <c r="M112" s="106">
        <f t="shared" si="91"/>
        <v>9.0437792501653291E-2</v>
      </c>
      <c r="N112" s="106">
        <f t="shared" si="91"/>
        <v>8.7355101645172573E-2</v>
      </c>
      <c r="O112" s="106">
        <f t="shared" si="91"/>
        <v>8.4654319064405348E-2</v>
      </c>
      <c r="P112" s="106">
        <f t="shared" si="91"/>
        <v>8.2275514196963773E-2</v>
      </c>
      <c r="Q112" s="106">
        <f t="shared" si="91"/>
        <v>8.017046826493357E-2</v>
      </c>
      <c r="R112" s="106">
        <f t="shared" si="91"/>
        <v>7.8299943833297414E-2</v>
      </c>
      <c r="S112" s="106">
        <f t="shared" si="91"/>
        <v>7.6631684958525792E-2</v>
      </c>
      <c r="T112" s="106">
        <f t="shared" si="91"/>
        <v>7.5138929577373004E-2</v>
      </c>
      <c r="U112" s="106">
        <f t="shared" si="91"/>
        <v>7.379928730853158E-2</v>
      </c>
    </row>
    <row r="113" spans="2:26" x14ac:dyDescent="0.2">
      <c r="B113" s="60" t="s">
        <v>448</v>
      </c>
      <c r="D113" s="107">
        <f t="shared" ref="D113:J113" si="92">+IFERROR(D110/D100,"n/a")</f>
        <v>0.25446691811044064</v>
      </c>
      <c r="E113" s="107">
        <f t="shared" si="92"/>
        <v>0.27318723723773564</v>
      </c>
      <c r="F113" s="107">
        <f t="shared" si="92"/>
        <v>0.28750131697536224</v>
      </c>
      <c r="G113" s="107">
        <f t="shared" si="92"/>
        <v>0.29520226322885817</v>
      </c>
      <c r="H113" s="107">
        <f t="shared" si="92"/>
        <v>0.26225013939013525</v>
      </c>
      <c r="I113" s="107">
        <f t="shared" si="92"/>
        <v>0.27659074628741925</v>
      </c>
      <c r="J113" s="171">
        <f t="shared" si="92"/>
        <v>0.29786770208176844</v>
      </c>
      <c r="K113" s="183">
        <f>+J113</f>
        <v>0.29786770208176844</v>
      </c>
      <c r="L113" s="183">
        <f t="shared" ref="L113:U113" si="93">+K113</f>
        <v>0.29786770208176844</v>
      </c>
      <c r="M113" s="183">
        <f t="shared" si="93"/>
        <v>0.29786770208176844</v>
      </c>
      <c r="N113" s="183">
        <f t="shared" si="93"/>
        <v>0.29786770208176844</v>
      </c>
      <c r="O113" s="183">
        <f t="shared" si="93"/>
        <v>0.29786770208176844</v>
      </c>
      <c r="P113" s="183">
        <f t="shared" si="93"/>
        <v>0.29786770208176844</v>
      </c>
      <c r="Q113" s="183">
        <f t="shared" si="93"/>
        <v>0.29786770208176844</v>
      </c>
      <c r="R113" s="183">
        <f t="shared" si="93"/>
        <v>0.29786770208176844</v>
      </c>
      <c r="S113" s="183">
        <f t="shared" si="93"/>
        <v>0.29786770208176844</v>
      </c>
      <c r="T113" s="183">
        <f t="shared" si="93"/>
        <v>0.29786770208176844</v>
      </c>
      <c r="U113" s="183">
        <f t="shared" si="93"/>
        <v>0.29786770208176844</v>
      </c>
    </row>
    <row r="114" spans="2:26" x14ac:dyDescent="0.2">
      <c r="B114" s="60" t="s">
        <v>454</v>
      </c>
      <c r="D114" s="171">
        <f>+IFERROR(D110/D94,"n/a")</f>
        <v>0.10848343960350945</v>
      </c>
      <c r="E114" s="171">
        <f t="shared" ref="E114:U114" si="94">+IFERROR(E110/E94,"n/a")</f>
        <v>0.12873482982881476</v>
      </c>
      <c r="F114" s="171">
        <f t="shared" si="94"/>
        <v>0.15856958472850882</v>
      </c>
      <c r="G114" s="171">
        <f t="shared" si="94"/>
        <v>0.17564078732091451</v>
      </c>
      <c r="H114" s="171">
        <f t="shared" si="94"/>
        <v>0.16115917626415815</v>
      </c>
      <c r="I114" s="171">
        <f t="shared" si="94"/>
        <v>0.17736598878461271</v>
      </c>
      <c r="J114" s="171">
        <f t="shared" si="94"/>
        <v>0.20182189083554281</v>
      </c>
      <c r="K114" s="171">
        <f t="shared" si="94"/>
        <v>0.20907063130695608</v>
      </c>
      <c r="L114" s="171">
        <f t="shared" si="94"/>
        <v>0.21577229702580988</v>
      </c>
      <c r="M114" s="171">
        <f t="shared" si="94"/>
        <v>0.22196817665267468</v>
      </c>
      <c r="N114" s="171">
        <f t="shared" si="94"/>
        <v>0.22769644272279496</v>
      </c>
      <c r="O114" s="171">
        <f t="shared" si="94"/>
        <v>0.232992386825359</v>
      </c>
      <c r="P114" s="171">
        <f t="shared" si="94"/>
        <v>0.23788863703338989</v>
      </c>
      <c r="Q114" s="171">
        <f t="shared" si="94"/>
        <v>0.24241535892383359</v>
      </c>
      <c r="R114" s="171">
        <f t="shared" si="94"/>
        <v>0.24660044142631921</v>
      </c>
      <c r="S114" s="171">
        <f t="shared" si="94"/>
        <v>0.25046966864559839</v>
      </c>
      <c r="T114" s="171">
        <f t="shared" si="94"/>
        <v>0.25404687871625276</v>
      </c>
      <c r="U114" s="171">
        <f t="shared" si="94"/>
        <v>0.25735411066836716</v>
      </c>
    </row>
    <row r="115" spans="2:26" x14ac:dyDescent="0.2">
      <c r="B115" s="60" t="s">
        <v>446</v>
      </c>
      <c r="D115" s="171">
        <f t="shared" ref="D115:U115" si="95">+IFERROR(D110/D90,"n/a")</f>
        <v>1.2697186039730209E-3</v>
      </c>
      <c r="E115" s="171">
        <f t="shared" si="95"/>
        <v>1.5883119505684152E-3</v>
      </c>
      <c r="F115" s="171">
        <f t="shared" si="95"/>
        <v>2.0135606546156019E-3</v>
      </c>
      <c r="G115" s="171">
        <f t="shared" si="95"/>
        <v>2.4616106218307982E-3</v>
      </c>
      <c r="H115" s="171">
        <f t="shared" si="95"/>
        <v>2.3078298422006733E-3</v>
      </c>
      <c r="I115" s="171">
        <f t="shared" si="95"/>
        <v>2.5765478400832315E-3</v>
      </c>
      <c r="J115" s="171">
        <f t="shared" si="95"/>
        <v>3.017204713674474E-3</v>
      </c>
      <c r="K115" s="171">
        <f t="shared" si="95"/>
        <v>3.2166082984012665E-3</v>
      </c>
      <c r="L115" s="171">
        <f t="shared" si="95"/>
        <v>3.4164059760917126E-3</v>
      </c>
      <c r="M115" s="171">
        <f t="shared" si="95"/>
        <v>3.6168720299601005E-3</v>
      </c>
      <c r="N115" s="171">
        <f t="shared" si="95"/>
        <v>3.8182759745386857E-3</v>
      </c>
      <c r="O115" s="171">
        <f t="shared" si="95"/>
        <v>4.0208830360808131E-3</v>
      </c>
      <c r="P115" s="171">
        <f t="shared" si="95"/>
        <v>4.2249546168934083E-3</v>
      </c>
      <c r="Q115" s="171">
        <f t="shared" si="95"/>
        <v>4.4307487445901413E-3</v>
      </c>
      <c r="R115" s="171">
        <f t="shared" si="95"/>
        <v>4.6385205072145656E-3</v>
      </c>
      <c r="S115" s="171">
        <f t="shared" si="95"/>
        <v>4.8485224751428089E-3</v>
      </c>
      <c r="T115" s="171">
        <f t="shared" si="95"/>
        <v>5.0610051106377424E-3</v>
      </c>
      <c r="U115" s="171">
        <f t="shared" si="95"/>
        <v>5.2762171658909162E-3</v>
      </c>
    </row>
    <row r="116" spans="2:26" hidden="1" outlineLevel="1" x14ac:dyDescent="0.2">
      <c r="B116" s="60" t="s">
        <v>464</v>
      </c>
      <c r="D116" s="100">
        <f t="shared" ref="D116:I116" si="96">+D76</f>
        <v>1749134.2838529078</v>
      </c>
      <c r="E116" s="100">
        <f t="shared" si="96"/>
        <v>1947848.9804642804</v>
      </c>
      <c r="F116" s="100">
        <f t="shared" si="96"/>
        <v>1934671.2601674711</v>
      </c>
      <c r="G116" s="100">
        <f t="shared" si="96"/>
        <v>2466224.1276889062</v>
      </c>
      <c r="H116" s="100">
        <f t="shared" si="96"/>
        <v>2822208.1307979971</v>
      </c>
      <c r="I116" s="100">
        <f t="shared" si="96"/>
        <v>3080414.2670297064</v>
      </c>
      <c r="J116" s="171"/>
      <c r="K116" s="171"/>
      <c r="L116" s="171"/>
      <c r="M116" s="171"/>
      <c r="N116" s="171"/>
      <c r="O116" s="171"/>
      <c r="P116" s="171"/>
      <c r="Q116" s="171"/>
      <c r="R116" s="171"/>
      <c r="S116" s="171"/>
      <c r="T116" s="171"/>
      <c r="U116" s="171"/>
    </row>
    <row r="117" spans="2:26" collapsed="1" x14ac:dyDescent="0.2">
      <c r="B117" s="60" t="s">
        <v>468</v>
      </c>
      <c r="D117" s="171">
        <f t="shared" ref="D117:I117" si="97">+D110/D116</f>
        <v>3.1450987215699784E-2</v>
      </c>
      <c r="E117" s="171">
        <f t="shared" si="97"/>
        <v>3.5759959164491976E-2</v>
      </c>
      <c r="F117" s="171">
        <f t="shared" si="97"/>
        <v>4.3449242117094097E-2</v>
      </c>
      <c r="G117" s="171">
        <f t="shared" si="97"/>
        <v>4.6603225842131564E-2</v>
      </c>
      <c r="H117" s="171">
        <f t="shared" si="97"/>
        <v>4.0266697115590583E-2</v>
      </c>
      <c r="I117" s="171">
        <f t="shared" si="97"/>
        <v>4.2834498402460341E-2</v>
      </c>
      <c r="J117" s="171"/>
      <c r="K117" s="171"/>
      <c r="L117" s="171"/>
      <c r="M117" s="171"/>
      <c r="N117" s="171"/>
      <c r="O117" s="171"/>
      <c r="P117" s="171"/>
      <c r="Q117" s="171"/>
      <c r="R117" s="171"/>
      <c r="S117" s="171"/>
      <c r="T117" s="171"/>
      <c r="U117" s="171"/>
    </row>
    <row r="119" spans="2:26" x14ac:dyDescent="0.2">
      <c r="B119" t="s">
        <v>450</v>
      </c>
      <c r="D119" s="64">
        <f>+D123</f>
        <v>826</v>
      </c>
      <c r="E119" s="64">
        <f t="shared" ref="E119:J119" si="98">+E123</f>
        <v>1042</v>
      </c>
      <c r="F119" s="64">
        <f t="shared" si="98"/>
        <v>1906</v>
      </c>
      <c r="G119" s="64">
        <f t="shared" si="98"/>
        <v>2995</v>
      </c>
      <c r="H119" s="64">
        <f t="shared" si="98"/>
        <v>2968</v>
      </c>
      <c r="I119" s="64">
        <f t="shared" si="98"/>
        <v>2953</v>
      </c>
      <c r="J119" s="64">
        <f t="shared" si="98"/>
        <v>3811.5</v>
      </c>
      <c r="K119" s="64">
        <f t="shared" ref="K119:U119" si="99">+J119*(1+K120)</f>
        <v>4002.0750000000003</v>
      </c>
      <c r="L119" s="64">
        <f t="shared" si="99"/>
        <v>4202.17875</v>
      </c>
      <c r="M119" s="64">
        <f t="shared" si="99"/>
        <v>4412.2876875000002</v>
      </c>
      <c r="N119" s="64">
        <f t="shared" si="99"/>
        <v>4632.9020718750007</v>
      </c>
      <c r="O119" s="64">
        <f t="shared" si="99"/>
        <v>4864.5471754687505</v>
      </c>
      <c r="P119" s="64">
        <f t="shared" si="99"/>
        <v>5107.7745342421886</v>
      </c>
      <c r="Q119" s="64">
        <f t="shared" si="99"/>
        <v>5363.1632609542985</v>
      </c>
      <c r="R119" s="64">
        <f t="shared" si="99"/>
        <v>5631.3214240020134</v>
      </c>
      <c r="S119" s="64">
        <f t="shared" si="99"/>
        <v>5912.8874952021142</v>
      </c>
      <c r="T119" s="64">
        <f t="shared" si="99"/>
        <v>6208.5318699622203</v>
      </c>
      <c r="U119" s="64">
        <f t="shared" si="99"/>
        <v>6518.9584634603316</v>
      </c>
      <c r="W119" s="99">
        <f>+IFERROR((I119/D119)^0.2-1,"n/a")</f>
        <v>0.2901989375576175</v>
      </c>
      <c r="X119" s="99">
        <f>+IFERROR((J119/D119)^(1/6)-1,"n/a")</f>
        <v>0.29028598334365996</v>
      </c>
      <c r="Y119" s="99">
        <f>+IFERROR((O119/J119)^(1/5)-1,"n/a")</f>
        <v>5.0000000000000044E-2</v>
      </c>
      <c r="Z119" s="99">
        <f>+IFERROR((T119/J119)^(1/10)-1,"n/a")</f>
        <v>5.0000000000000044E-2</v>
      </c>
    </row>
    <row r="120" spans="2:26" x14ac:dyDescent="0.2">
      <c r="B120" s="60" t="s">
        <v>17</v>
      </c>
      <c r="E120" s="106">
        <f t="shared" ref="E120:J120" si="100">+IFERROR(E119/D119-1,"n/a")</f>
        <v>0.26150121065375309</v>
      </c>
      <c r="F120" s="106">
        <f t="shared" si="100"/>
        <v>0.82917466410748553</v>
      </c>
      <c r="G120" s="106">
        <f t="shared" si="100"/>
        <v>0.5713536201469045</v>
      </c>
      <c r="H120" s="106">
        <f t="shared" si="100"/>
        <v>-9.0150250417362354E-3</v>
      </c>
      <c r="I120" s="106">
        <f t="shared" si="100"/>
        <v>-5.0539083557951114E-3</v>
      </c>
      <c r="J120" s="106">
        <f t="shared" si="100"/>
        <v>0.29072130037250243</v>
      </c>
      <c r="K120" s="138">
        <v>0.05</v>
      </c>
      <c r="L120" s="138">
        <v>0.05</v>
      </c>
      <c r="M120" s="138">
        <v>0.05</v>
      </c>
      <c r="N120" s="138">
        <v>0.05</v>
      </c>
      <c r="O120" s="138">
        <v>0.05</v>
      </c>
      <c r="P120" s="138">
        <v>0.05</v>
      </c>
      <c r="Q120" s="138">
        <v>0.05</v>
      </c>
      <c r="R120" s="138">
        <v>0.05</v>
      </c>
      <c r="S120" s="138">
        <v>0.05</v>
      </c>
      <c r="T120" s="138">
        <v>0.05</v>
      </c>
      <c r="U120" s="138">
        <v>0.05</v>
      </c>
    </row>
    <row r="122" spans="2:26" x14ac:dyDescent="0.2">
      <c r="B122" t="s">
        <v>449</v>
      </c>
      <c r="D122" s="80">
        <f t="shared" ref="D122:J122" si="101">+D82</f>
        <v>55012</v>
      </c>
      <c r="E122" s="80">
        <f t="shared" si="101"/>
        <v>69655</v>
      </c>
      <c r="F122" s="80">
        <f t="shared" si="101"/>
        <v>84060</v>
      </c>
      <c r="G122" s="80">
        <f t="shared" si="101"/>
        <v>114934</v>
      </c>
      <c r="H122" s="80">
        <f t="shared" si="101"/>
        <v>113641</v>
      </c>
      <c r="I122" s="80">
        <f t="shared" si="101"/>
        <v>131948</v>
      </c>
      <c r="J122" s="80">
        <f t="shared" si="101"/>
        <v>159149.98549899654</v>
      </c>
      <c r="K122" s="64">
        <f>+K110</f>
        <v>174758.065496247</v>
      </c>
      <c r="L122" s="64">
        <f t="shared" ref="L122:U122" si="102">+L110</f>
        <v>191181.44867598629</v>
      </c>
      <c r="M122" s="64">
        <f t="shared" si="102"/>
        <v>208471.47686151063</v>
      </c>
      <c r="N122" s="64">
        <f t="shared" si="102"/>
        <v>226682.52391286712</v>
      </c>
      <c r="O122" s="64">
        <f t="shared" si="102"/>
        <v>245872.17861851168</v>
      </c>
      <c r="P122" s="64">
        <f t="shared" si="102"/>
        <v>266101.43854107743</v>
      </c>
      <c r="Q122" s="64">
        <f t="shared" si="102"/>
        <v>287434.91547488805</v>
      </c>
      <c r="R122" s="64">
        <f t="shared" si="102"/>
        <v>309941.05321230041</v>
      </c>
      <c r="S122" s="64">
        <f t="shared" si="102"/>
        <v>333692.3583577791</v>
      </c>
      <c r="T122" s="64">
        <f t="shared" si="102"/>
        <v>358765.64497293177</v>
      </c>
      <c r="U122" s="64">
        <f t="shared" si="102"/>
        <v>385242.29388271982</v>
      </c>
      <c r="W122" s="99">
        <f>+IFERROR((I122/D122)^0.2-1,"n/a")</f>
        <v>0.19121204318511387</v>
      </c>
      <c r="X122" s="99">
        <f>+IFERROR((J122/D122)^(1/6)-1,"n/a")</f>
        <v>0.19368992454747791</v>
      </c>
      <c r="Y122" s="99">
        <f>+IFERROR((O122/J122)^(1/5)-1,"n/a")</f>
        <v>9.0888986560809792E-2</v>
      </c>
      <c r="Z122" s="99">
        <f>+IFERROR((T122/J122)^(1/10)-1,"n/a")</f>
        <v>8.4676983186856791E-2</v>
      </c>
    </row>
    <row r="123" spans="2:26" ht="13.5" x14ac:dyDescent="0.35">
      <c r="B123" t="s">
        <v>450</v>
      </c>
      <c r="D123" s="72">
        <f t="shared" ref="D123:J123" si="103">+D83</f>
        <v>826</v>
      </c>
      <c r="E123" s="72">
        <f t="shared" si="103"/>
        <v>1042</v>
      </c>
      <c r="F123" s="72">
        <f t="shared" si="103"/>
        <v>1906</v>
      </c>
      <c r="G123" s="72">
        <f t="shared" si="103"/>
        <v>2995</v>
      </c>
      <c r="H123" s="72">
        <f t="shared" si="103"/>
        <v>2968</v>
      </c>
      <c r="I123" s="72">
        <f t="shared" si="103"/>
        <v>2953</v>
      </c>
      <c r="J123" s="72">
        <f t="shared" si="103"/>
        <v>3811.5</v>
      </c>
      <c r="K123" s="65">
        <f>+K119</f>
        <v>4002.0750000000003</v>
      </c>
      <c r="L123" s="65">
        <f t="shared" ref="L123:U123" si="104">+L119</f>
        <v>4202.17875</v>
      </c>
      <c r="M123" s="65">
        <f t="shared" si="104"/>
        <v>4412.2876875000002</v>
      </c>
      <c r="N123" s="65">
        <f t="shared" si="104"/>
        <v>4632.9020718750007</v>
      </c>
      <c r="O123" s="65">
        <f t="shared" si="104"/>
        <v>4864.5471754687505</v>
      </c>
      <c r="P123" s="65">
        <f t="shared" si="104"/>
        <v>5107.7745342421886</v>
      </c>
      <c r="Q123" s="65">
        <f t="shared" si="104"/>
        <v>5363.1632609542985</v>
      </c>
      <c r="R123" s="65">
        <f t="shared" si="104"/>
        <v>5631.3214240020134</v>
      </c>
      <c r="S123" s="65">
        <f t="shared" si="104"/>
        <v>5912.8874952021142</v>
      </c>
      <c r="T123" s="65">
        <f t="shared" si="104"/>
        <v>6208.5318699622203</v>
      </c>
      <c r="U123" s="65">
        <f t="shared" si="104"/>
        <v>6518.9584634603316</v>
      </c>
      <c r="W123" s="122">
        <f>+IFERROR((I123/D123)^0.2-1,"n/a")</f>
        <v>0.2901989375576175</v>
      </c>
      <c r="X123" s="122">
        <f>+IFERROR((J123/D123)^(1/6)-1,"n/a")</f>
        <v>0.29028598334365996</v>
      </c>
      <c r="Y123" s="122">
        <f>+IFERROR((O123/J123)^(1/5)-1,"n/a")</f>
        <v>5.0000000000000044E-2</v>
      </c>
      <c r="Z123" s="122">
        <f>+IFERROR((T123/J123)^(1/10)-1,"n/a")</f>
        <v>5.0000000000000044E-2</v>
      </c>
    </row>
    <row r="124" spans="2:26" s="44" customFormat="1" x14ac:dyDescent="0.2">
      <c r="B124" s="110" t="s">
        <v>450</v>
      </c>
      <c r="D124" s="111">
        <f>SUM(D122:D123)</f>
        <v>55838</v>
      </c>
      <c r="E124" s="111">
        <f t="shared" ref="E124:J124" si="105">SUM(E122:E123)</f>
        <v>70697</v>
      </c>
      <c r="F124" s="111">
        <f t="shared" si="105"/>
        <v>85966</v>
      </c>
      <c r="G124" s="111">
        <f t="shared" si="105"/>
        <v>117929</v>
      </c>
      <c r="H124" s="111">
        <f t="shared" si="105"/>
        <v>116609</v>
      </c>
      <c r="I124" s="111">
        <f t="shared" si="105"/>
        <v>134901</v>
      </c>
      <c r="J124" s="111">
        <f t="shared" si="105"/>
        <v>162961.48549899654</v>
      </c>
      <c r="K124" s="111">
        <f t="shared" ref="K124:U124" si="106">SUM(K122:K123)</f>
        <v>178760.14049624701</v>
      </c>
      <c r="L124" s="111">
        <f t="shared" si="106"/>
        <v>195383.62742598628</v>
      </c>
      <c r="M124" s="111">
        <f t="shared" si="106"/>
        <v>212883.76454901064</v>
      </c>
      <c r="N124" s="111">
        <f t="shared" si="106"/>
        <v>231315.42598474212</v>
      </c>
      <c r="O124" s="111">
        <f t="shared" si="106"/>
        <v>250736.72579398044</v>
      </c>
      <c r="P124" s="111">
        <f t="shared" si="106"/>
        <v>271209.2130753196</v>
      </c>
      <c r="Q124" s="111">
        <f t="shared" si="106"/>
        <v>292798.07873584237</v>
      </c>
      <c r="R124" s="111">
        <f t="shared" si="106"/>
        <v>315572.37463630241</v>
      </c>
      <c r="S124" s="111">
        <f t="shared" si="106"/>
        <v>339605.24585298123</v>
      </c>
      <c r="T124" s="111">
        <f t="shared" si="106"/>
        <v>364974.176842894</v>
      </c>
      <c r="U124" s="111">
        <f t="shared" si="106"/>
        <v>391761.25234618015</v>
      </c>
      <c r="W124" s="237">
        <f>+IFERROR((I124/D124)^0.2-1,"n/a")</f>
        <v>0.1929357752166676</v>
      </c>
      <c r="X124" s="237">
        <f>+IFERROR((J124/D124)^(1/6)-1,"n/a")</f>
        <v>0.19543468741766645</v>
      </c>
      <c r="Y124" s="237">
        <f>+IFERROR((O124/J124)^(1/5)-1,"n/a")</f>
        <v>9.0000243859340356E-2</v>
      </c>
      <c r="Z124" s="237">
        <f>+IFERROR((T124/J124)^(1/10)-1,"n/a")</f>
        <v>8.3971131830247403E-2</v>
      </c>
    </row>
    <row r="125" spans="2:26" x14ac:dyDescent="0.2">
      <c r="B125" s="101" t="s">
        <v>17</v>
      </c>
      <c r="E125" s="106">
        <f t="shared" ref="E125:U125" si="107">+IFERROR(E124/D124-1,"n/a")</f>
        <v>0.26610910132884413</v>
      </c>
      <c r="F125" s="106">
        <f t="shared" si="107"/>
        <v>0.21597804715900248</v>
      </c>
      <c r="G125" s="106">
        <f t="shared" si="107"/>
        <v>0.37180978526394148</v>
      </c>
      <c r="H125" s="106">
        <f t="shared" si="107"/>
        <v>-1.1193175554782941E-2</v>
      </c>
      <c r="I125" s="106">
        <f t="shared" si="107"/>
        <v>0.15686610810486323</v>
      </c>
      <c r="J125" s="106">
        <f t="shared" si="107"/>
        <v>0.20800798733142489</v>
      </c>
      <c r="K125" s="106">
        <f t="shared" si="107"/>
        <v>9.6947170976468211E-2</v>
      </c>
      <c r="L125" s="106">
        <f t="shared" si="107"/>
        <v>9.2993252766481627E-2</v>
      </c>
      <c r="M125" s="106">
        <f t="shared" si="107"/>
        <v>8.9568083843942548E-2</v>
      </c>
      <c r="N125" s="106">
        <f t="shared" si="107"/>
        <v>8.6580869493634305E-2</v>
      </c>
      <c r="O125" s="106">
        <f t="shared" si="107"/>
        <v>8.3960244875840528E-2</v>
      </c>
      <c r="P125" s="106">
        <f t="shared" si="107"/>
        <v>8.1649336436500075E-2</v>
      </c>
      <c r="Q125" s="106">
        <f t="shared" si="107"/>
        <v>7.9602257665661202E-2</v>
      </c>
      <c r="R125" s="106">
        <f t="shared" si="107"/>
        <v>7.7781575612750675E-2</v>
      </c>
      <c r="S125" s="106">
        <f t="shared" si="107"/>
        <v>7.6156448245435771E-2</v>
      </c>
      <c r="T125" s="106">
        <f t="shared" si="107"/>
        <v>7.4701234152593887E-2</v>
      </c>
      <c r="U125" s="106">
        <f t="shared" si="107"/>
        <v>7.3394440491654001E-2</v>
      </c>
    </row>
    <row r="126" spans="2:26" x14ac:dyDescent="0.2">
      <c r="B126" s="101" t="s">
        <v>18</v>
      </c>
      <c r="E126" s="120">
        <f t="shared" ref="E126:J126" si="108">+E86</f>
        <v>0.29599914037035702</v>
      </c>
      <c r="F126" s="120">
        <f t="shared" si="108"/>
        <v>0.21766128690043418</v>
      </c>
      <c r="G126" s="120">
        <f t="shared" si="108"/>
        <v>0.35273247562990018</v>
      </c>
      <c r="H126" s="120">
        <f t="shared" si="108"/>
        <v>3.9320268975400419E-2</v>
      </c>
      <c r="I126" s="120">
        <f t="shared" si="108"/>
        <v>0.15366738416417247</v>
      </c>
      <c r="J126" s="120">
        <f t="shared" si="108"/>
        <v>0.21759645962594809</v>
      </c>
      <c r="K126" s="106">
        <f t="shared" ref="K126:U126" si="109">+K125</f>
        <v>9.6947170976468211E-2</v>
      </c>
      <c r="L126" s="106">
        <f t="shared" si="109"/>
        <v>9.2993252766481627E-2</v>
      </c>
      <c r="M126" s="106">
        <f t="shared" si="109"/>
        <v>8.9568083843942548E-2</v>
      </c>
      <c r="N126" s="106">
        <f t="shared" si="109"/>
        <v>8.6580869493634305E-2</v>
      </c>
      <c r="O126" s="106">
        <f t="shared" si="109"/>
        <v>8.3960244875840528E-2</v>
      </c>
      <c r="P126" s="106">
        <f t="shared" si="109"/>
        <v>8.1649336436500075E-2</v>
      </c>
      <c r="Q126" s="106">
        <f t="shared" si="109"/>
        <v>7.9602257665661202E-2</v>
      </c>
      <c r="R126" s="106">
        <f t="shared" si="109"/>
        <v>7.7781575612750675E-2</v>
      </c>
      <c r="S126" s="106">
        <f t="shared" si="109"/>
        <v>7.6156448245435771E-2</v>
      </c>
      <c r="T126" s="106">
        <f t="shared" si="109"/>
        <v>7.4701234152593887E-2</v>
      </c>
      <c r="U126" s="106">
        <f t="shared" si="109"/>
        <v>7.3394440491654001E-2</v>
      </c>
    </row>
    <row r="127" spans="2:26" x14ac:dyDescent="0.2">
      <c r="B127" s="101"/>
      <c r="E127" s="197"/>
      <c r="F127" s="197"/>
      <c r="G127" s="197"/>
      <c r="H127" s="197"/>
      <c r="I127" s="197"/>
      <c r="J127" s="197"/>
    </row>
    <row r="128" spans="2:26" x14ac:dyDescent="0.2">
      <c r="B128" s="101"/>
      <c r="E128" s="197"/>
      <c r="F128" s="197"/>
      <c r="G128" s="197"/>
      <c r="H128" s="197"/>
      <c r="I128" s="197"/>
      <c r="J128" s="197"/>
    </row>
    <row r="129" spans="2:10" x14ac:dyDescent="0.2">
      <c r="B129" s="101"/>
      <c r="E129" s="197"/>
      <c r="F129" s="197"/>
      <c r="G129" s="197"/>
      <c r="H129" s="197"/>
      <c r="I129" s="197"/>
      <c r="J129" s="197"/>
    </row>
    <row r="130" spans="2:10" x14ac:dyDescent="0.2">
      <c r="B130" s="101"/>
      <c r="E130" s="197"/>
      <c r="F130" s="197"/>
      <c r="G130" s="197"/>
      <c r="H130" s="197"/>
      <c r="I130" s="197"/>
      <c r="J130" s="197"/>
    </row>
    <row r="131" spans="2:10" x14ac:dyDescent="0.2">
      <c r="B131" s="101"/>
      <c r="E131" s="197"/>
      <c r="F131" s="197"/>
      <c r="G131" s="197"/>
      <c r="H131" s="197"/>
      <c r="I131" s="197"/>
      <c r="J131" s="197"/>
    </row>
    <row r="132" spans="2:10" x14ac:dyDescent="0.2">
      <c r="B132" s="101"/>
      <c r="E132" s="197"/>
      <c r="F132" s="197"/>
      <c r="G132" s="197"/>
      <c r="H132" s="197"/>
      <c r="I132" s="197"/>
      <c r="J132" s="197"/>
    </row>
    <row r="133" spans="2:10" x14ac:dyDescent="0.2">
      <c r="B133" s="101"/>
      <c r="E133" s="197"/>
      <c r="F133" s="197"/>
      <c r="G133" s="197"/>
      <c r="H133" s="197"/>
      <c r="I133" s="197"/>
      <c r="J133" s="197"/>
    </row>
    <row r="134" spans="2:10" x14ac:dyDescent="0.2">
      <c r="B134" s="101"/>
      <c r="E134" s="197"/>
      <c r="F134" s="197"/>
      <c r="G134" s="197"/>
      <c r="H134" s="197"/>
      <c r="I134" s="197"/>
      <c r="J134" s="197"/>
    </row>
    <row r="135" spans="2:10" x14ac:dyDescent="0.2">
      <c r="B135" s="101"/>
      <c r="E135" s="197"/>
      <c r="F135" s="197"/>
      <c r="G135" s="197"/>
      <c r="H135" s="197"/>
      <c r="I135" s="197"/>
      <c r="J135" s="197"/>
    </row>
    <row r="136" spans="2:10" x14ac:dyDescent="0.2">
      <c r="B136" s="101"/>
      <c r="E136" s="197"/>
      <c r="F136" s="197"/>
      <c r="G136" s="197"/>
      <c r="H136" s="197"/>
      <c r="I136" s="197"/>
      <c r="J136" s="197"/>
    </row>
    <row r="137" spans="2:10" x14ac:dyDescent="0.2">
      <c r="B137" s="101"/>
      <c r="E137" s="197"/>
      <c r="F137" s="197"/>
      <c r="G137" s="197"/>
      <c r="H137" s="197"/>
      <c r="I137" s="197"/>
      <c r="J137" s="197"/>
    </row>
    <row r="138" spans="2:10" x14ac:dyDescent="0.2">
      <c r="B138" s="101"/>
      <c r="E138" s="197"/>
      <c r="F138" s="197"/>
      <c r="G138" s="197"/>
      <c r="H138" s="197"/>
      <c r="I138" s="197"/>
      <c r="J138" s="197"/>
    </row>
    <row r="139" spans="2:10" x14ac:dyDescent="0.2">
      <c r="B139" s="101"/>
      <c r="E139" s="197"/>
      <c r="F139" s="197"/>
      <c r="G139" s="197"/>
      <c r="H139" s="197"/>
      <c r="I139" s="197"/>
      <c r="J139" s="197"/>
    </row>
    <row r="140" spans="2:10" x14ac:dyDescent="0.2">
      <c r="B140" s="101"/>
      <c r="E140" s="197"/>
      <c r="F140" s="197"/>
      <c r="G140" s="197"/>
      <c r="H140" s="197"/>
      <c r="I140" s="197"/>
      <c r="J140" s="197"/>
    </row>
    <row r="141" spans="2:10" x14ac:dyDescent="0.2">
      <c r="B141" s="101"/>
      <c r="E141" s="197"/>
      <c r="F141" s="197"/>
      <c r="G141" s="197"/>
      <c r="H141" s="197"/>
      <c r="I141" s="197"/>
      <c r="J141" s="197"/>
    </row>
    <row r="142" spans="2:10" x14ac:dyDescent="0.2">
      <c r="B142" s="101"/>
      <c r="E142" s="197"/>
      <c r="F142" s="197"/>
      <c r="G142" s="197"/>
      <c r="H142" s="197"/>
      <c r="I142" s="197"/>
      <c r="J142" s="197"/>
    </row>
    <row r="143" spans="2:10" x14ac:dyDescent="0.2">
      <c r="B143" s="101"/>
      <c r="E143" s="197"/>
      <c r="F143" s="197"/>
      <c r="G143" s="197"/>
      <c r="H143" s="197"/>
      <c r="I143" s="197"/>
      <c r="J143" s="197"/>
    </row>
    <row r="144" spans="2:10" x14ac:dyDescent="0.2">
      <c r="B144" s="101"/>
      <c r="E144" s="197"/>
      <c r="F144" s="197"/>
      <c r="G144" s="197"/>
      <c r="H144" s="197"/>
      <c r="I144" s="197"/>
      <c r="J144" s="197"/>
    </row>
    <row r="145" spans="2:10" x14ac:dyDescent="0.2">
      <c r="B145" s="101"/>
      <c r="E145" s="197"/>
      <c r="F145" s="197"/>
      <c r="G145" s="197"/>
      <c r="H145" s="197"/>
      <c r="I145" s="197"/>
      <c r="J145" s="197"/>
    </row>
    <row r="146" spans="2:10" x14ac:dyDescent="0.2">
      <c r="B146" s="101"/>
      <c r="E146" s="197"/>
      <c r="F146" s="197"/>
      <c r="G146" s="197"/>
      <c r="H146" s="197"/>
      <c r="I146" s="197"/>
      <c r="J146" s="197"/>
    </row>
    <row r="147" spans="2:10" x14ac:dyDescent="0.2">
      <c r="B147" s="101"/>
      <c r="E147" s="197"/>
      <c r="F147" s="197"/>
      <c r="G147" s="197"/>
      <c r="H147" s="197"/>
      <c r="I147" s="197"/>
      <c r="J147" s="197"/>
    </row>
    <row r="148" spans="2:10" x14ac:dyDescent="0.2">
      <c r="B148" s="101"/>
      <c r="E148" s="197"/>
      <c r="F148" s="197"/>
      <c r="G148" s="197"/>
      <c r="H148" s="197"/>
      <c r="I148" s="197"/>
      <c r="J148" s="197"/>
    </row>
    <row r="149" spans="2:10" x14ac:dyDescent="0.2">
      <c r="B149" s="101"/>
      <c r="E149" s="197"/>
      <c r="F149" s="197"/>
      <c r="G149" s="197"/>
      <c r="H149" s="197"/>
      <c r="I149" s="197"/>
      <c r="J149" s="197"/>
    </row>
    <row r="150" spans="2:10" x14ac:dyDescent="0.2">
      <c r="B150" s="101"/>
      <c r="E150" s="197"/>
      <c r="F150" s="197"/>
      <c r="G150" s="197"/>
      <c r="H150" s="197"/>
      <c r="I150" s="197"/>
      <c r="J150" s="197"/>
    </row>
    <row r="151" spans="2:10" x14ac:dyDescent="0.2">
      <c r="B151" s="101"/>
      <c r="E151" s="197"/>
      <c r="F151" s="197"/>
      <c r="G151" s="197"/>
      <c r="H151" s="197"/>
      <c r="I151" s="197"/>
      <c r="J151" s="197"/>
    </row>
    <row r="152" spans="2:10" x14ac:dyDescent="0.2">
      <c r="B152" s="101"/>
      <c r="E152" s="197"/>
      <c r="F152" s="197"/>
      <c r="G152" s="197"/>
      <c r="H152" s="197"/>
      <c r="I152" s="197"/>
      <c r="J152" s="197"/>
    </row>
    <row r="153" spans="2:10" x14ac:dyDescent="0.2">
      <c r="B153" s="101"/>
      <c r="E153" s="197"/>
      <c r="F153" s="197"/>
      <c r="G153" s="197"/>
      <c r="H153" s="197"/>
      <c r="I153" s="197"/>
      <c r="J153" s="197"/>
    </row>
    <row r="154" spans="2:10" x14ac:dyDescent="0.2">
      <c r="B154" s="101"/>
      <c r="E154" s="197"/>
      <c r="F154" s="197"/>
      <c r="G154" s="197"/>
      <c r="H154" s="197"/>
      <c r="I154" s="197"/>
      <c r="J154" s="197"/>
    </row>
    <row r="155" spans="2:10" x14ac:dyDescent="0.2">
      <c r="B155" s="101"/>
      <c r="E155" s="197"/>
      <c r="F155" s="197"/>
      <c r="G155" s="197"/>
      <c r="H155" s="197"/>
      <c r="I155" s="197"/>
      <c r="J155" s="197"/>
    </row>
    <row r="156" spans="2:10" x14ac:dyDescent="0.2">
      <c r="B156" s="101"/>
      <c r="E156" s="197"/>
      <c r="F156" s="197"/>
      <c r="G156" s="197"/>
      <c r="H156" s="197"/>
      <c r="I156" s="197"/>
      <c r="J156" s="197"/>
    </row>
    <row r="157" spans="2:10" x14ac:dyDescent="0.2">
      <c r="B157" s="101"/>
      <c r="E157" s="197"/>
      <c r="F157" s="197"/>
      <c r="G157" s="197"/>
      <c r="H157" s="197"/>
      <c r="I157" s="197"/>
      <c r="J157" s="197"/>
    </row>
    <row r="158" spans="2:10" x14ac:dyDescent="0.2">
      <c r="B158" s="101"/>
      <c r="E158" s="197"/>
      <c r="F158" s="197"/>
      <c r="G158" s="197"/>
      <c r="H158" s="197"/>
      <c r="I158" s="197"/>
      <c r="J158" s="197"/>
    </row>
    <row r="159" spans="2:10" x14ac:dyDescent="0.2">
      <c r="B159" s="101"/>
      <c r="E159" s="197"/>
      <c r="F159" s="197"/>
      <c r="G159" s="197"/>
      <c r="H159" s="197"/>
      <c r="I159" s="197"/>
      <c r="J159" s="197"/>
    </row>
    <row r="160" spans="2:10" x14ac:dyDescent="0.2">
      <c r="B160" s="101"/>
      <c r="E160" s="197"/>
      <c r="F160" s="197"/>
      <c r="G160" s="197"/>
      <c r="H160" s="197"/>
      <c r="I160" s="197"/>
      <c r="J160" s="197"/>
    </row>
    <row r="161" spans="2:10" x14ac:dyDescent="0.2">
      <c r="B161" s="101"/>
      <c r="E161" s="197"/>
      <c r="F161" s="197"/>
      <c r="G161" s="197"/>
      <c r="H161" s="197"/>
      <c r="I161" s="197"/>
      <c r="J161" s="197"/>
    </row>
    <row r="162" spans="2:10" x14ac:dyDescent="0.2">
      <c r="B162" s="101"/>
      <c r="E162" s="197"/>
      <c r="F162" s="197"/>
      <c r="G162" s="197"/>
      <c r="H162" s="197"/>
      <c r="I162" s="197"/>
      <c r="J162" s="197"/>
    </row>
  </sheetData>
  <pageMargins left="0.3" right="0.3" top="0.3" bottom="0.3" header="0.3" footer="0.3"/>
  <pageSetup scale="48" orientation="landscape"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12F0-BD08-4A4E-B9C2-5E4B4BECEB5C}">
  <sheetPr>
    <pageSetUpPr fitToPage="1"/>
  </sheetPr>
  <dimension ref="A1:DI656"/>
  <sheetViews>
    <sheetView view="pageBreakPreview" zoomScaleNormal="85" zoomScaleSheetLayoutView="100" workbookViewId="0">
      <pane xSplit="3" ySplit="5" topLeftCell="BG6" activePane="bottomRight" state="frozen"/>
      <selection activeCell="E94" sqref="E94"/>
      <selection pane="topRight" activeCell="E94" sqref="E94"/>
      <selection pane="bottomLeft" activeCell="E94" sqref="E94"/>
      <selection pane="bottomRight" activeCell="CJ2" sqref="CJ2"/>
    </sheetView>
  </sheetViews>
  <sheetFormatPr defaultRowHeight="11.25" outlineLevelRow="1" outlineLevelCol="1" x14ac:dyDescent="0.2"/>
  <cols>
    <col min="1" max="1" width="3.83203125" customWidth="1"/>
    <col min="2" max="2" width="25.83203125" customWidth="1"/>
    <col min="3" max="3" width="2.83203125" customWidth="1"/>
    <col min="4" max="39" width="9.33203125" hidden="1" customWidth="1" outlineLevel="1"/>
    <col min="40" max="40" width="9.33203125" customWidth="1" collapsed="1"/>
    <col min="41" max="67" width="9.33203125" customWidth="1"/>
    <col min="68" max="68" width="2.83203125" customWidth="1"/>
    <col min="77" max="78" width="9.33203125" customWidth="1"/>
    <col min="83" max="87" width="9.33203125" customWidth="1"/>
  </cols>
  <sheetData>
    <row r="1" spans="2:88" x14ac:dyDescent="0.2">
      <c r="BG1" t="s">
        <v>362</v>
      </c>
      <c r="BH1" t="s">
        <v>364</v>
      </c>
      <c r="BI1" t="s">
        <v>365</v>
      </c>
      <c r="BJ1" t="s">
        <v>366</v>
      </c>
      <c r="BK1" t="s">
        <v>363</v>
      </c>
      <c r="BL1" t="s">
        <v>575</v>
      </c>
      <c r="BM1" t="s">
        <v>576</v>
      </c>
      <c r="BN1" t="s">
        <v>577</v>
      </c>
      <c r="BO1" t="s">
        <v>578</v>
      </c>
      <c r="CG1" t="s">
        <v>367</v>
      </c>
      <c r="CH1" t="s">
        <v>368</v>
      </c>
      <c r="CI1" t="s">
        <v>579</v>
      </c>
    </row>
    <row r="2" spans="2:88" s="44" customFormat="1" ht="10.15" customHeight="1" x14ac:dyDescent="0.2">
      <c r="B2" s="44" t="s">
        <v>327</v>
      </c>
      <c r="BI2" s="111"/>
      <c r="BK2" s="111"/>
      <c r="BL2" s="111"/>
      <c r="BM2" s="111"/>
      <c r="BN2" s="111"/>
      <c r="BO2" s="111"/>
      <c r="CA2" s="45"/>
      <c r="CC2" s="4"/>
      <c r="CD2" s="4"/>
      <c r="CI2" s="4">
        <f>+'Simple Model - Case 1'!X2</f>
        <v>45657</v>
      </c>
      <c r="CJ2" s="4">
        <v>45657</v>
      </c>
    </row>
    <row r="3" spans="2:88" s="46" customFormat="1" x14ac:dyDescent="0.2">
      <c r="B3" s="46" t="s">
        <v>59</v>
      </c>
    </row>
    <row r="4" spans="2:88" x14ac:dyDescent="0.2">
      <c r="B4" s="76" t="s">
        <v>275</v>
      </c>
      <c r="L4" s="47"/>
      <c r="M4" s="48"/>
      <c r="N4" s="49"/>
      <c r="W4" s="49"/>
      <c r="AJ4" s="135" t="s">
        <v>276</v>
      </c>
      <c r="AK4" s="136"/>
      <c r="AL4" s="136"/>
      <c r="AM4" s="136"/>
      <c r="AN4" s="135" t="s">
        <v>276</v>
      </c>
      <c r="AO4" s="136"/>
      <c r="AP4" s="136"/>
      <c r="AQ4" s="136"/>
      <c r="AR4" s="136"/>
      <c r="AS4" s="136"/>
      <c r="AT4" s="136"/>
      <c r="AU4" s="136"/>
      <c r="AV4" s="136"/>
      <c r="AW4" s="136"/>
      <c r="AX4" s="136"/>
      <c r="AY4" s="136"/>
      <c r="AZ4" s="136"/>
      <c r="BA4" s="136"/>
      <c r="BB4" s="136"/>
      <c r="BC4" s="136"/>
      <c r="BD4" s="136"/>
      <c r="BE4" s="136"/>
      <c r="BF4" s="136"/>
      <c r="BG4" s="136"/>
      <c r="BH4" s="136"/>
      <c r="BI4" s="136"/>
      <c r="BJ4" s="136"/>
      <c r="BK4" s="136"/>
      <c r="BL4" s="136"/>
      <c r="BM4" s="136"/>
      <c r="BN4" s="136"/>
      <c r="BO4" s="136"/>
      <c r="BQ4" s="135" t="s">
        <v>278</v>
      </c>
      <c r="BR4" s="136"/>
      <c r="BS4" s="136"/>
      <c r="BT4" s="136"/>
      <c r="BU4" s="137"/>
      <c r="BV4" s="137"/>
      <c r="BW4" s="136"/>
      <c r="BX4" s="136"/>
      <c r="BY4" s="136"/>
      <c r="BZ4" s="136"/>
      <c r="CA4" s="136"/>
      <c r="CB4" s="136"/>
      <c r="CC4" s="136"/>
      <c r="CD4" s="136"/>
      <c r="CE4" s="136"/>
      <c r="CF4" s="136"/>
      <c r="CG4" s="136"/>
      <c r="CH4" s="136"/>
      <c r="CI4" s="136"/>
    </row>
    <row r="5" spans="2:88" ht="13.5" x14ac:dyDescent="0.35">
      <c r="B5" s="50"/>
      <c r="D5" s="51" t="s">
        <v>64</v>
      </c>
      <c r="E5" s="51" t="s">
        <v>65</v>
      </c>
      <c r="F5" s="51" t="s">
        <v>66</v>
      </c>
      <c r="G5" s="51" t="s">
        <v>67</v>
      </c>
      <c r="H5" s="51" t="s">
        <v>284</v>
      </c>
      <c r="I5" s="51" t="s">
        <v>285</v>
      </c>
      <c r="J5" s="51" t="s">
        <v>286</v>
      </c>
      <c r="K5" s="51" t="s">
        <v>287</v>
      </c>
      <c r="L5" s="51" t="s">
        <v>288</v>
      </c>
      <c r="M5" s="51" t="s">
        <v>68</v>
      </c>
      <c r="N5" s="51" t="s">
        <v>69</v>
      </c>
      <c r="O5" s="51" t="s">
        <v>70</v>
      </c>
      <c r="P5" s="51" t="s">
        <v>71</v>
      </c>
      <c r="Q5" s="51" t="s">
        <v>72</v>
      </c>
      <c r="R5" s="51" t="s">
        <v>73</v>
      </c>
      <c r="S5" s="51" t="s">
        <v>74</v>
      </c>
      <c r="T5" s="51" t="s">
        <v>75</v>
      </c>
      <c r="U5" s="51" t="s">
        <v>76</v>
      </c>
      <c r="V5" s="51" t="s">
        <v>77</v>
      </c>
      <c r="W5" s="51" t="s">
        <v>78</v>
      </c>
      <c r="X5" s="51" t="s">
        <v>79</v>
      </c>
      <c r="Y5" s="51" t="s">
        <v>80</v>
      </c>
      <c r="Z5" s="51" t="s">
        <v>81</v>
      </c>
      <c r="AA5" s="51" t="s">
        <v>82</v>
      </c>
      <c r="AB5" s="51" t="s">
        <v>283</v>
      </c>
      <c r="AC5" s="51" t="s">
        <v>281</v>
      </c>
      <c r="AD5" s="51" t="s">
        <v>282</v>
      </c>
      <c r="AE5" s="51" t="s">
        <v>83</v>
      </c>
      <c r="AF5" s="51" t="s">
        <v>84</v>
      </c>
      <c r="AG5" s="51" t="s">
        <v>85</v>
      </c>
      <c r="AH5" s="51" t="s">
        <v>86</v>
      </c>
      <c r="AI5" s="51" t="s">
        <v>87</v>
      </c>
      <c r="AJ5" s="51" t="s">
        <v>88</v>
      </c>
      <c r="AK5" s="51" t="s">
        <v>89</v>
      </c>
      <c r="AL5" s="51" t="s">
        <v>90</v>
      </c>
      <c r="AM5" s="51" t="s">
        <v>91</v>
      </c>
      <c r="AN5" s="51" t="s">
        <v>92</v>
      </c>
      <c r="AO5" s="51" t="s">
        <v>93</v>
      </c>
      <c r="AP5" s="51" t="s">
        <v>94</v>
      </c>
      <c r="AQ5" s="51" t="s">
        <v>95</v>
      </c>
      <c r="AR5" s="51" t="s">
        <v>96</v>
      </c>
      <c r="AS5" s="51" t="s">
        <v>97</v>
      </c>
      <c r="AT5" s="51" t="s">
        <v>98</v>
      </c>
      <c r="AU5" s="51" t="s">
        <v>99</v>
      </c>
      <c r="AV5" s="51" t="s">
        <v>100</v>
      </c>
      <c r="AW5" s="51" t="s">
        <v>101</v>
      </c>
      <c r="AX5" s="51" t="s">
        <v>304</v>
      </c>
      <c r="AY5" s="51" t="s">
        <v>320</v>
      </c>
      <c r="AZ5" s="51" t="s">
        <v>326</v>
      </c>
      <c r="BA5" s="51" t="s">
        <v>329</v>
      </c>
      <c r="BB5" s="51" t="s">
        <v>330</v>
      </c>
      <c r="BC5" s="51" t="s">
        <v>333</v>
      </c>
      <c r="BD5" s="51" t="s">
        <v>335</v>
      </c>
      <c r="BE5" s="51" t="s">
        <v>350</v>
      </c>
      <c r="BF5" s="51" t="s">
        <v>358</v>
      </c>
      <c r="BG5" s="51" t="s">
        <v>359</v>
      </c>
      <c r="BH5" s="51" t="s">
        <v>360</v>
      </c>
      <c r="BI5" s="51" t="s">
        <v>485</v>
      </c>
      <c r="BJ5" s="51" t="s">
        <v>490</v>
      </c>
      <c r="BK5" s="51" t="s">
        <v>353</v>
      </c>
      <c r="BL5" s="51" t="s">
        <v>573</v>
      </c>
      <c r="BM5" s="51" t="s">
        <v>574</v>
      </c>
      <c r="BN5" s="51" t="s">
        <v>571</v>
      </c>
      <c r="BO5" s="51" t="s">
        <v>572</v>
      </c>
      <c r="BQ5" s="51" t="s">
        <v>102</v>
      </c>
      <c r="BR5" s="51" t="s">
        <v>103</v>
      </c>
      <c r="BS5" s="51" t="s">
        <v>104</v>
      </c>
      <c r="BT5" s="51" t="s">
        <v>105</v>
      </c>
      <c r="BU5" s="51" t="s">
        <v>277</v>
      </c>
      <c r="BV5" s="51" t="s">
        <v>106</v>
      </c>
      <c r="BW5" s="51" t="s">
        <v>107</v>
      </c>
      <c r="BX5" s="51" t="s">
        <v>0</v>
      </c>
      <c r="BY5" s="51" t="s">
        <v>1</v>
      </c>
      <c r="BZ5" s="51" t="s">
        <v>2</v>
      </c>
      <c r="CA5" s="51" t="s">
        <v>3</v>
      </c>
      <c r="CB5" s="51" t="s">
        <v>4</v>
      </c>
      <c r="CC5" s="51" t="s">
        <v>5</v>
      </c>
      <c r="CD5" s="51" t="s">
        <v>6</v>
      </c>
      <c r="CE5" s="51" t="s">
        <v>321</v>
      </c>
      <c r="CF5" s="51" t="s">
        <v>306</v>
      </c>
      <c r="CG5" s="51" t="s">
        <v>357</v>
      </c>
      <c r="CH5" s="51" t="s">
        <v>7</v>
      </c>
      <c r="CI5" s="51" t="s">
        <v>8</v>
      </c>
    </row>
    <row r="6" spans="2:88" ht="13.5" x14ac:dyDescent="0.35">
      <c r="H6" s="49"/>
      <c r="I6" s="49"/>
      <c r="J6" s="49"/>
      <c r="K6" s="49"/>
      <c r="L6" s="47" t="s">
        <v>60</v>
      </c>
      <c r="M6" s="48"/>
      <c r="N6" s="49" t="s">
        <v>61</v>
      </c>
      <c r="W6" s="49" t="s">
        <v>62</v>
      </c>
      <c r="AB6" s="49" t="s">
        <v>108</v>
      </c>
      <c r="AC6" s="49" t="s">
        <v>108</v>
      </c>
      <c r="AD6" s="49" t="s">
        <v>108</v>
      </c>
      <c r="AT6" s="51"/>
      <c r="BU6" s="47" t="s">
        <v>63</v>
      </c>
      <c r="BV6" s="47"/>
    </row>
    <row r="7" spans="2:88" x14ac:dyDescent="0.2">
      <c r="B7" s="52" t="s">
        <v>109</v>
      </c>
      <c r="C7" s="53"/>
      <c r="H7" s="49"/>
      <c r="I7" s="49"/>
      <c r="J7" s="49"/>
      <c r="K7" s="49"/>
      <c r="L7" s="49"/>
      <c r="AB7" s="49"/>
      <c r="AC7" s="49"/>
      <c r="AD7" s="49"/>
      <c r="AY7" s="56"/>
      <c r="BA7" s="56"/>
      <c r="BB7" s="177"/>
      <c r="BF7" s="161"/>
      <c r="BH7" s="288"/>
      <c r="BI7" s="177"/>
      <c r="BU7" s="49"/>
    </row>
    <row r="8" spans="2:88" x14ac:dyDescent="0.2">
      <c r="E8" s="56"/>
      <c r="F8" s="56"/>
      <c r="G8" s="56"/>
      <c r="H8" s="49"/>
      <c r="I8" s="56"/>
      <c r="J8" s="56"/>
      <c r="K8" s="56"/>
      <c r="L8" s="49"/>
      <c r="M8" s="56"/>
      <c r="N8" s="56"/>
      <c r="O8" s="56"/>
      <c r="Q8" s="56"/>
      <c r="R8" s="56"/>
      <c r="S8" s="56"/>
      <c r="U8" s="56"/>
      <c r="V8" s="56"/>
      <c r="W8" s="56"/>
      <c r="Y8" s="56"/>
      <c r="Z8" s="56"/>
      <c r="AA8" s="56"/>
      <c r="AB8" s="49"/>
      <c r="AC8" s="56"/>
      <c r="AD8" s="56"/>
      <c r="AE8" s="56"/>
      <c r="AG8" s="56"/>
      <c r="AH8" s="56"/>
      <c r="AI8" s="56"/>
      <c r="AJ8" s="56"/>
      <c r="AK8" s="56"/>
      <c r="AL8" s="56"/>
      <c r="AM8" s="56"/>
      <c r="AO8" s="56"/>
      <c r="AP8" s="56"/>
      <c r="AQ8" s="56"/>
      <c r="AR8" s="57"/>
      <c r="AS8" s="56"/>
      <c r="AT8" s="56"/>
      <c r="AU8" s="56"/>
      <c r="AV8" s="57"/>
      <c r="AW8" s="57"/>
      <c r="AX8" s="161"/>
      <c r="AY8" s="161"/>
      <c r="AZ8" s="57"/>
      <c r="BA8" s="64"/>
      <c r="BB8" s="64"/>
      <c r="BC8" s="64"/>
      <c r="BD8" s="57"/>
      <c r="BE8" s="57"/>
      <c r="BF8" s="57"/>
      <c r="BG8" s="161"/>
      <c r="BH8" s="220"/>
      <c r="BI8" s="57"/>
      <c r="BJ8" s="57"/>
      <c r="BK8" s="57"/>
      <c r="BL8" s="57"/>
      <c r="BM8" s="57"/>
      <c r="BN8" s="57"/>
      <c r="BO8" s="57"/>
      <c r="BU8" s="49"/>
      <c r="CJ8" s="56"/>
    </row>
    <row r="9" spans="2:88" s="58" customFormat="1" x14ac:dyDescent="0.2">
      <c r="B9" s="58" t="s">
        <v>16</v>
      </c>
      <c r="D9" s="59">
        <f>+D412</f>
        <v>345</v>
      </c>
      <c r="E9" s="59">
        <f t="shared" ref="E9:CB9" si="0">+E412</f>
        <v>431</v>
      </c>
      <c r="F9" s="59">
        <f t="shared" si="0"/>
        <v>467</v>
      </c>
      <c r="G9" s="59">
        <f t="shared" si="0"/>
        <v>731</v>
      </c>
      <c r="H9" s="59">
        <f t="shared" si="0"/>
        <v>731</v>
      </c>
      <c r="I9" s="59">
        <f t="shared" si="0"/>
        <v>895</v>
      </c>
      <c r="J9" s="59">
        <f t="shared" si="0"/>
        <v>954</v>
      </c>
      <c r="K9" s="59">
        <f t="shared" si="0"/>
        <v>1131</v>
      </c>
      <c r="L9" s="59">
        <f t="shared" si="0"/>
        <v>1058</v>
      </c>
      <c r="M9" s="59">
        <f t="shared" si="0"/>
        <v>1184</v>
      </c>
      <c r="N9" s="59">
        <f t="shared" si="0"/>
        <v>1262</v>
      </c>
      <c r="O9" s="59">
        <f t="shared" si="0"/>
        <v>1585</v>
      </c>
      <c r="P9" s="59">
        <f t="shared" si="0"/>
        <v>1458</v>
      </c>
      <c r="Q9" s="59">
        <f t="shared" si="0"/>
        <v>1813</v>
      </c>
      <c r="R9" s="59">
        <f t="shared" si="0"/>
        <v>2016</v>
      </c>
      <c r="S9" s="59">
        <f t="shared" si="0"/>
        <v>2585</v>
      </c>
      <c r="T9" s="59">
        <f t="shared" si="0"/>
        <v>2502</v>
      </c>
      <c r="U9" s="59">
        <f t="shared" si="0"/>
        <v>2910</v>
      </c>
      <c r="V9" s="59">
        <f t="shared" si="0"/>
        <v>3203</v>
      </c>
      <c r="W9" s="59">
        <f t="shared" si="0"/>
        <v>3851</v>
      </c>
      <c r="X9" s="59">
        <f t="shared" si="0"/>
        <v>3543</v>
      </c>
      <c r="Y9" s="59">
        <f t="shared" si="0"/>
        <v>4042</v>
      </c>
      <c r="Z9" s="59">
        <f t="shared" si="0"/>
        <v>4501</v>
      </c>
      <c r="AA9" s="59">
        <f t="shared" si="0"/>
        <v>5841</v>
      </c>
      <c r="AB9" s="59">
        <f t="shared" si="0"/>
        <v>5382</v>
      </c>
      <c r="AC9" s="59">
        <f t="shared" si="0"/>
        <v>6436</v>
      </c>
      <c r="AD9" s="59">
        <f t="shared" si="0"/>
        <v>7011</v>
      </c>
      <c r="AE9" s="59">
        <f t="shared" si="0"/>
        <v>8809</v>
      </c>
      <c r="AF9" s="59">
        <f t="shared" si="0"/>
        <v>8032</v>
      </c>
      <c r="AG9" s="59">
        <f t="shared" si="0"/>
        <v>9321</v>
      </c>
      <c r="AH9" s="59">
        <f t="shared" si="0"/>
        <v>10328</v>
      </c>
      <c r="AI9" s="59">
        <f t="shared" si="0"/>
        <v>12972</v>
      </c>
      <c r="AJ9" s="59">
        <f t="shared" si="0"/>
        <v>11966</v>
      </c>
      <c r="AK9" s="59">
        <f t="shared" si="0"/>
        <v>13231</v>
      </c>
      <c r="AL9" s="59">
        <f t="shared" si="0"/>
        <v>13727</v>
      </c>
      <c r="AM9" s="59">
        <f t="shared" si="0"/>
        <v>16914</v>
      </c>
      <c r="AN9" s="59">
        <f t="shared" si="0"/>
        <v>15077</v>
      </c>
      <c r="AO9" s="59">
        <f t="shared" si="0"/>
        <v>16886</v>
      </c>
      <c r="AP9" s="59">
        <f t="shared" si="0"/>
        <v>17652</v>
      </c>
      <c r="AQ9" s="59">
        <f t="shared" si="0"/>
        <v>21082</v>
      </c>
      <c r="AR9" s="59">
        <f t="shared" si="0"/>
        <v>17737</v>
      </c>
      <c r="AS9" s="59">
        <f t="shared" si="0"/>
        <v>18687</v>
      </c>
      <c r="AT9" s="59">
        <f t="shared" si="0"/>
        <v>21470</v>
      </c>
      <c r="AU9" s="59">
        <f t="shared" ref="AU9:AZ9" si="1">+AU412</f>
        <v>28072</v>
      </c>
      <c r="AV9" s="59">
        <f t="shared" si="1"/>
        <v>26171</v>
      </c>
      <c r="AW9" s="59">
        <f t="shared" si="1"/>
        <v>29077</v>
      </c>
      <c r="AX9" s="59">
        <f t="shared" si="1"/>
        <v>29010</v>
      </c>
      <c r="AY9" s="59">
        <f t="shared" si="1"/>
        <v>33671</v>
      </c>
      <c r="AZ9" s="59">
        <f t="shared" si="1"/>
        <v>27908</v>
      </c>
      <c r="BA9" s="59">
        <f t="shared" ref="BA9:BG9" si="2">+BA412</f>
        <v>28822</v>
      </c>
      <c r="BB9" s="59">
        <f t="shared" si="2"/>
        <v>27714</v>
      </c>
      <c r="BC9" s="59">
        <f t="shared" si="2"/>
        <v>32165</v>
      </c>
      <c r="BD9" s="59">
        <f t="shared" si="2"/>
        <v>28645</v>
      </c>
      <c r="BE9" s="59">
        <f t="shared" si="2"/>
        <v>31999</v>
      </c>
      <c r="BF9" s="59">
        <f t="shared" si="2"/>
        <v>34146</v>
      </c>
      <c r="BG9" s="59">
        <f t="shared" si="2"/>
        <v>40111</v>
      </c>
      <c r="BH9" s="59">
        <f>+BH126</f>
        <v>36455</v>
      </c>
      <c r="BI9" s="59">
        <f>+BI126</f>
        <v>39071</v>
      </c>
      <c r="BJ9" s="59">
        <f>+BJ126</f>
        <v>40589</v>
      </c>
      <c r="BK9" s="59">
        <f>+BK126</f>
        <v>46846.485498996532</v>
      </c>
      <c r="BL9" s="59">
        <f t="shared" ref="BL9:BO9" si="3">+BL126</f>
        <v>41291.193114113288</v>
      </c>
      <c r="BM9" s="59">
        <f t="shared" si="3"/>
        <v>44201.829946105856</v>
      </c>
      <c r="BN9" s="59">
        <f t="shared" si="3"/>
        <v>45637.611289533044</v>
      </c>
      <c r="BO9" s="59">
        <f t="shared" si="3"/>
        <v>52929.150830925435</v>
      </c>
      <c r="BQ9" s="59">
        <f t="shared" si="0"/>
        <v>153</v>
      </c>
      <c r="BR9" s="59">
        <f t="shared" si="0"/>
        <v>272</v>
      </c>
      <c r="BS9" s="59">
        <f t="shared" si="0"/>
        <v>777</v>
      </c>
      <c r="BT9" s="59">
        <f t="shared" si="0"/>
        <v>1974</v>
      </c>
      <c r="BU9" s="59">
        <f t="shared" si="0"/>
        <v>3711</v>
      </c>
      <c r="BV9" s="59">
        <f t="shared" si="0"/>
        <v>5089</v>
      </c>
      <c r="BW9" s="59">
        <f t="shared" si="0"/>
        <v>7872</v>
      </c>
      <c r="BX9" s="59">
        <f t="shared" si="0"/>
        <v>12466</v>
      </c>
      <c r="BY9" s="59">
        <f t="shared" si="0"/>
        <v>17927</v>
      </c>
      <c r="BZ9" s="59">
        <f t="shared" si="0"/>
        <v>27638</v>
      </c>
      <c r="CA9" s="59">
        <f t="shared" si="0"/>
        <v>40653</v>
      </c>
      <c r="CB9" s="59">
        <f t="shared" si="0"/>
        <v>55838</v>
      </c>
      <c r="CC9" s="59">
        <f>+CC412</f>
        <v>70697</v>
      </c>
      <c r="CD9" s="59">
        <f>+CD412</f>
        <v>85966</v>
      </c>
      <c r="CE9" s="59">
        <f>+CE412</f>
        <v>117929</v>
      </c>
      <c r="CF9" s="59">
        <f>+CF412</f>
        <v>116609</v>
      </c>
      <c r="CG9" s="59">
        <f>+CG412</f>
        <v>134901</v>
      </c>
      <c r="CH9" s="59">
        <f>+SUM(BH9:BK9)</f>
        <v>162961.48549899654</v>
      </c>
      <c r="CI9" s="59">
        <f>+SUM(BL9:BO9)</f>
        <v>184059.78518067763</v>
      </c>
    </row>
    <row r="10" spans="2:88" x14ac:dyDescent="0.2">
      <c r="B10" s="60" t="s">
        <v>17</v>
      </c>
      <c r="H10" s="106">
        <f>+H9/D9-1</f>
        <v>1.1188405797101448</v>
      </c>
      <c r="I10" s="106">
        <f t="shared" ref="I10:BG10" si="4">+I9/E9-1</f>
        <v>1.0765661252900234</v>
      </c>
      <c r="J10" s="106">
        <f t="shared" si="4"/>
        <v>1.0428265524625266</v>
      </c>
      <c r="K10" s="106">
        <f t="shared" si="4"/>
        <v>0.54719562243502051</v>
      </c>
      <c r="L10" s="106">
        <f t="shared" si="4"/>
        <v>0.44733242134062934</v>
      </c>
      <c r="M10" s="106">
        <f t="shared" si="4"/>
        <v>0.32290502793296083</v>
      </c>
      <c r="N10" s="106">
        <f t="shared" si="4"/>
        <v>0.32285115303983236</v>
      </c>
      <c r="O10" s="106">
        <f t="shared" si="4"/>
        <v>0.40141467727674618</v>
      </c>
      <c r="P10" s="106">
        <f t="shared" si="4"/>
        <v>0.37807183364839325</v>
      </c>
      <c r="Q10" s="106">
        <f t="shared" si="4"/>
        <v>0.53125</v>
      </c>
      <c r="R10" s="106">
        <f t="shared" si="4"/>
        <v>0.59746434231378753</v>
      </c>
      <c r="S10" s="106">
        <f t="shared" si="4"/>
        <v>0.63091482649842279</v>
      </c>
      <c r="T10" s="106">
        <f t="shared" si="4"/>
        <v>0.71604938271604945</v>
      </c>
      <c r="U10" s="106">
        <f t="shared" si="4"/>
        <v>0.60507446221731942</v>
      </c>
      <c r="V10" s="106">
        <f t="shared" si="4"/>
        <v>0.58878968253968256</v>
      </c>
      <c r="W10" s="106">
        <f t="shared" si="4"/>
        <v>0.48974854932301737</v>
      </c>
      <c r="X10" s="106">
        <f t="shared" si="4"/>
        <v>0.4160671462829737</v>
      </c>
      <c r="Y10" s="106">
        <f t="shared" si="4"/>
        <v>0.38900343642611679</v>
      </c>
      <c r="Z10" s="106">
        <f t="shared" si="4"/>
        <v>0.40524508273493609</v>
      </c>
      <c r="AA10" s="106">
        <f t="shared" si="4"/>
        <v>0.516748896390548</v>
      </c>
      <c r="AB10" s="106">
        <f t="shared" si="4"/>
        <v>0.51905165114309915</v>
      </c>
      <c r="AC10" s="106">
        <f t="shared" si="4"/>
        <v>0.5922810489856507</v>
      </c>
      <c r="AD10" s="106">
        <f t="shared" si="4"/>
        <v>0.55765385469895579</v>
      </c>
      <c r="AE10" s="106">
        <f t="shared" si="4"/>
        <v>0.5081321691491183</v>
      </c>
      <c r="AF10" s="106">
        <f t="shared" si="4"/>
        <v>0.49238201412114457</v>
      </c>
      <c r="AG10" s="106">
        <f t="shared" si="4"/>
        <v>0.44825978868862637</v>
      </c>
      <c r="AH10" s="106">
        <f t="shared" si="4"/>
        <v>0.47311367850520614</v>
      </c>
      <c r="AI10" s="106">
        <f t="shared" si="4"/>
        <v>0.47258485639686687</v>
      </c>
      <c r="AJ10" s="106">
        <f t="shared" si="4"/>
        <v>0.48979083665338652</v>
      </c>
      <c r="AK10" s="106">
        <f t="shared" si="4"/>
        <v>0.41948288810213485</v>
      </c>
      <c r="AL10" s="106">
        <f t="shared" si="4"/>
        <v>0.32910534469403574</v>
      </c>
      <c r="AM10" s="106">
        <f t="shared" si="4"/>
        <v>0.30388529139685483</v>
      </c>
      <c r="AN10" s="106">
        <f t="shared" si="4"/>
        <v>0.25998662878154777</v>
      </c>
      <c r="AO10" s="106">
        <f t="shared" si="4"/>
        <v>0.2762451817700855</v>
      </c>
      <c r="AP10" s="106">
        <f t="shared" si="4"/>
        <v>0.2859328331026445</v>
      </c>
      <c r="AQ10" s="106">
        <f t="shared" si="4"/>
        <v>0.2464230814709707</v>
      </c>
      <c r="AR10" s="106">
        <f t="shared" si="4"/>
        <v>0.17642767128739134</v>
      </c>
      <c r="AS10" s="106">
        <f t="shared" si="4"/>
        <v>0.10665640175293145</v>
      </c>
      <c r="AT10" s="106">
        <f t="shared" si="4"/>
        <v>0.21629277135735325</v>
      </c>
      <c r="AU10" s="106">
        <f t="shared" si="4"/>
        <v>0.33156247035385644</v>
      </c>
      <c r="AV10" s="106">
        <f t="shared" si="4"/>
        <v>0.47550318543158365</v>
      </c>
      <c r="AW10" s="106">
        <f t="shared" si="4"/>
        <v>0.5560014983678494</v>
      </c>
      <c r="AX10" s="106">
        <f t="shared" si="4"/>
        <v>0.35118770377270603</v>
      </c>
      <c r="AY10" s="106">
        <f t="shared" si="4"/>
        <v>0.19945141065830718</v>
      </c>
      <c r="AZ10" s="106">
        <f t="shared" si="4"/>
        <v>6.6371174200450911E-2</v>
      </c>
      <c r="BA10" s="106">
        <f t="shared" si="4"/>
        <v>-8.7698180692643568E-3</v>
      </c>
      <c r="BB10" s="106">
        <f t="shared" si="4"/>
        <v>-4.4674250258531556E-2</v>
      </c>
      <c r="BC10" s="106">
        <f t="shared" si="4"/>
        <v>-4.4726916337501144E-2</v>
      </c>
      <c r="BD10" s="106">
        <f t="shared" si="4"/>
        <v>2.6408198366060009E-2</v>
      </c>
      <c r="BE10" s="106">
        <f t="shared" si="4"/>
        <v>0.11022829782804799</v>
      </c>
      <c r="BF10" s="106">
        <f t="shared" si="4"/>
        <v>0.23208486685429741</v>
      </c>
      <c r="BG10" s="106">
        <f t="shared" si="4"/>
        <v>0.24703870666873939</v>
      </c>
      <c r="BH10" s="106">
        <f>+BH9/BD9-1</f>
        <v>0.27264793157619138</v>
      </c>
      <c r="BI10" s="106">
        <f>+BI9/BE9-1</f>
        <v>0.2210069064658271</v>
      </c>
      <c r="BJ10" s="106">
        <f>+BJ9/BF9-1</f>
        <v>0.18868974404029748</v>
      </c>
      <c r="BK10" s="106">
        <f>+BK9/BG9-1</f>
        <v>0.16792115626627435</v>
      </c>
      <c r="BL10" s="106">
        <f t="shared" ref="BL10:BO10" si="5">+BL9/BH9-1</f>
        <v>0.13266199736972406</v>
      </c>
      <c r="BM10" s="106">
        <f t="shared" si="5"/>
        <v>0.13132067124224767</v>
      </c>
      <c r="BN10" s="106">
        <f t="shared" si="5"/>
        <v>0.12438373178775142</v>
      </c>
      <c r="BO10" s="106">
        <f t="shared" si="5"/>
        <v>0.12984251149553572</v>
      </c>
      <c r="BP10" s="106"/>
      <c r="BQ10" s="106"/>
      <c r="BR10" s="106">
        <f>+BR9/BQ9-1</f>
        <v>0.77777777777777768</v>
      </c>
      <c r="BS10" s="106">
        <f t="shared" ref="BS10:CE10" si="6">+BS9/BR9-1</f>
        <v>1.8566176470588234</v>
      </c>
      <c r="BT10" s="106">
        <f t="shared" si="6"/>
        <v>1.5405405405405403</v>
      </c>
      <c r="BU10" s="106">
        <f t="shared" si="6"/>
        <v>0.87993920972644379</v>
      </c>
      <c r="BV10" s="106">
        <f t="shared" si="6"/>
        <v>0.37132848288870934</v>
      </c>
      <c r="BW10" s="106">
        <f t="shared" si="6"/>
        <v>0.5468657889565729</v>
      </c>
      <c r="BX10" s="106">
        <f t="shared" si="6"/>
        <v>0.58358739837398366</v>
      </c>
      <c r="BY10" s="106">
        <f t="shared" si="6"/>
        <v>0.43807155462858982</v>
      </c>
      <c r="BZ10" s="106">
        <f t="shared" si="6"/>
        <v>0.54169688179840469</v>
      </c>
      <c r="CA10" s="106">
        <f t="shared" si="6"/>
        <v>0.47090961719371882</v>
      </c>
      <c r="CB10" s="106">
        <f t="shared" si="6"/>
        <v>0.37352716896661997</v>
      </c>
      <c r="CC10" s="106">
        <f t="shared" si="6"/>
        <v>0.26610910132884413</v>
      </c>
      <c r="CD10" s="106">
        <f t="shared" si="6"/>
        <v>0.21597804715900248</v>
      </c>
      <c r="CE10" s="106">
        <f t="shared" si="6"/>
        <v>0.37180978526394148</v>
      </c>
      <c r="CF10" s="106">
        <f>+CF9/CE9-1</f>
        <v>-1.1193175554782941E-2</v>
      </c>
      <c r="CG10" s="106">
        <f>+CG9/CF9-1</f>
        <v>0.15686610810486323</v>
      </c>
      <c r="CH10" s="106">
        <f>+CH9/CG9-1</f>
        <v>0.20800798733142489</v>
      </c>
      <c r="CI10" s="106">
        <f>+CI9/CH9-1</f>
        <v>0.129468012745938</v>
      </c>
    </row>
    <row r="11" spans="2:88" x14ac:dyDescent="0.2">
      <c r="B11" s="60" t="s">
        <v>279</v>
      </c>
      <c r="H11" s="106"/>
      <c r="I11" s="106"/>
      <c r="J11" s="106"/>
      <c r="K11" s="106"/>
      <c r="L11" s="106">
        <f t="shared" ref="L11:AQ11" si="7">+L135</f>
        <v>0.46785225718194257</v>
      </c>
      <c r="M11" s="106">
        <f t="shared" si="7"/>
        <v>0.35977653631284912</v>
      </c>
      <c r="N11" s="106">
        <f t="shared" si="7"/>
        <v>0.37735849056603765</v>
      </c>
      <c r="O11" s="106">
        <f t="shared" si="7"/>
        <v>0.42175066312997345</v>
      </c>
      <c r="P11" s="106">
        <f t="shared" si="7"/>
        <v>0.38185255198487722</v>
      </c>
      <c r="Q11" s="106">
        <f t="shared" si="7"/>
        <v>0.54222972972972983</v>
      </c>
      <c r="R11" s="106">
        <f t="shared" si="7"/>
        <v>0.59904912836767044</v>
      </c>
      <c r="S11" s="106">
        <f t="shared" si="7"/>
        <v>0.63217665615141949</v>
      </c>
      <c r="T11" s="106">
        <f t="shared" si="7"/>
        <v>0.72222222222222232</v>
      </c>
      <c r="U11" s="106">
        <f t="shared" si="7"/>
        <v>0.58852730281301713</v>
      </c>
      <c r="V11" s="106">
        <f t="shared" si="7"/>
        <v>0.57837301587301582</v>
      </c>
      <c r="W11" s="106">
        <f t="shared" si="7"/>
        <v>0.5295938104448743</v>
      </c>
      <c r="X11" s="106">
        <f t="shared" si="7"/>
        <v>0.49120703437250191</v>
      </c>
      <c r="Y11" s="106">
        <f t="shared" si="7"/>
        <v>0.50309278350515463</v>
      </c>
      <c r="Z11" s="106">
        <f t="shared" si="7"/>
        <v>0.51201998126756165</v>
      </c>
      <c r="AA11" s="106">
        <f t="shared" si="7"/>
        <v>0.60036354193715913</v>
      </c>
      <c r="AB11" s="106">
        <f t="shared" si="7"/>
        <v>0.57606548123059564</v>
      </c>
      <c r="AC11" s="106">
        <f t="shared" si="7"/>
        <v>0.59252845126175169</v>
      </c>
      <c r="AD11" s="106">
        <f t="shared" si="7"/>
        <v>0.5645412130637637</v>
      </c>
      <c r="AE11" s="106">
        <f t="shared" si="7"/>
        <v>0.51429549734634472</v>
      </c>
      <c r="AF11" s="106">
        <f t="shared" si="7"/>
        <v>0.49646971386101812</v>
      </c>
      <c r="AG11" s="106">
        <f t="shared" si="7"/>
        <v>0.47016780609073949</v>
      </c>
      <c r="AH11" s="106">
        <f t="shared" si="7"/>
        <v>0.45485665382969609</v>
      </c>
      <c r="AI11" s="106">
        <f t="shared" si="7"/>
        <v>0.43523668974912022</v>
      </c>
      <c r="AJ11" s="106">
        <f t="shared" si="7"/>
        <v>0.42305776892430269</v>
      </c>
      <c r="AK11" s="106">
        <f t="shared" si="7"/>
        <v>0.37946572256195688</v>
      </c>
      <c r="AL11" s="106">
        <f t="shared" si="7"/>
        <v>0.34450038729666921</v>
      </c>
      <c r="AM11" s="106">
        <f t="shared" si="7"/>
        <v>0.33078939253777362</v>
      </c>
      <c r="AN11" s="106">
        <f t="shared" si="7"/>
        <v>0.30202239679090748</v>
      </c>
      <c r="AO11" s="106">
        <f t="shared" si="7"/>
        <v>0.31962814602070888</v>
      </c>
      <c r="AP11" s="106">
        <f t="shared" si="7"/>
        <v>0.30756902455015656</v>
      </c>
      <c r="AQ11" s="106">
        <f t="shared" si="7"/>
        <v>0.26386425446375794</v>
      </c>
      <c r="AR11" s="106">
        <f t="shared" ref="AR11:BK11" si="8">+AR135</f>
        <v>0.19466737414605029</v>
      </c>
      <c r="AS11" s="106">
        <f t="shared" si="8"/>
        <v>0.1242449366338978</v>
      </c>
      <c r="AT11" s="106">
        <f t="shared" si="8"/>
        <v>0.20983457965103103</v>
      </c>
      <c r="AU11" s="106">
        <f t="shared" si="8"/>
        <v>0.31548240204914135</v>
      </c>
      <c r="AV11" s="106">
        <f t="shared" si="8"/>
        <v>0.4356993854654112</v>
      </c>
      <c r="AW11" s="106">
        <f t="shared" si="8"/>
        <v>0.50345159736715361</v>
      </c>
      <c r="AX11" s="106">
        <f t="shared" si="8"/>
        <v>0.339124359571495</v>
      </c>
      <c r="AY11" s="106">
        <f t="shared" si="8"/>
        <v>0.21038757480763759</v>
      </c>
      <c r="AZ11" s="106">
        <f t="shared" si="8"/>
        <v>0.10049291200183408</v>
      </c>
      <c r="BA11" s="106">
        <f t="shared" si="8"/>
        <v>3.4666574956150997E-2</v>
      </c>
      <c r="BB11" s="106">
        <f t="shared" si="8"/>
        <v>1.6994139951740816E-2</v>
      </c>
      <c r="BC11" s="106">
        <f t="shared" si="8"/>
        <v>1.5027768703038236E-2</v>
      </c>
      <c r="BD11" s="106">
        <f t="shared" si="8"/>
        <v>5.5647126272036607E-2</v>
      </c>
      <c r="BE11" s="106">
        <f t="shared" si="8"/>
        <v>0.11973492471029079</v>
      </c>
      <c r="BF11" s="106">
        <f t="shared" si="8"/>
        <v>0.20873926535325116</v>
      </c>
      <c r="BG11" s="106">
        <f t="shared" si="8"/>
        <v>0.22166951655526201</v>
      </c>
      <c r="BH11" s="106">
        <f t="shared" si="8"/>
        <v>0.26894746028975391</v>
      </c>
      <c r="BI11" s="106">
        <f>+BI135</f>
        <v>0.23260101878183703</v>
      </c>
      <c r="BJ11" s="106">
        <f>+BJ135</f>
        <v>0.2046213319276049</v>
      </c>
      <c r="BK11" s="106">
        <f t="shared" si="8"/>
        <v>0.18</v>
      </c>
      <c r="BL11" s="106">
        <f t="shared" ref="BL11:BO11" si="9">+BL135</f>
        <v>0.17</v>
      </c>
      <c r="BM11" s="106">
        <f t="shared" si="9"/>
        <v>0.16</v>
      </c>
      <c r="BN11" s="106">
        <f t="shared" si="9"/>
        <v>0.16</v>
      </c>
      <c r="BO11" s="106">
        <f t="shared" si="9"/>
        <v>0.15</v>
      </c>
      <c r="BP11" s="106"/>
      <c r="BQ11" s="106"/>
      <c r="BR11" s="106"/>
      <c r="BS11" s="106"/>
      <c r="BT11" s="106"/>
      <c r="BU11" s="106"/>
      <c r="BV11" s="106">
        <f t="shared" ref="BV11:CH11" si="10">+BV135</f>
        <v>0.40447318781999453</v>
      </c>
      <c r="BW11" s="106">
        <f t="shared" si="10"/>
        <v>0.55099233641186873</v>
      </c>
      <c r="BX11" s="106">
        <f t="shared" si="10"/>
        <v>0.59133638211382111</v>
      </c>
      <c r="BY11" s="106">
        <f t="shared" si="10"/>
        <v>0.53304989571634853</v>
      </c>
      <c r="BZ11" s="106">
        <f t="shared" si="10"/>
        <v>0.55675796284933332</v>
      </c>
      <c r="CA11" s="106">
        <f t="shared" si="10"/>
        <v>0.46027208915261597</v>
      </c>
      <c r="CB11" s="106">
        <f t="shared" si="10"/>
        <v>0.36366319828794924</v>
      </c>
      <c r="CC11" s="106">
        <f t="shared" si="10"/>
        <v>0.29599914037035702</v>
      </c>
      <c r="CD11" s="106">
        <f t="shared" si="10"/>
        <v>0.21766128690043418</v>
      </c>
      <c r="CE11" s="106">
        <f t="shared" si="10"/>
        <v>0.35273247562990018</v>
      </c>
      <c r="CF11" s="106">
        <f t="shared" si="10"/>
        <v>3.9320268975400419E-2</v>
      </c>
      <c r="CG11" s="106">
        <f t="shared" si="10"/>
        <v>0.15366738416417247</v>
      </c>
      <c r="CH11" s="106">
        <f t="shared" si="10"/>
        <v>0.21759645962594809</v>
      </c>
      <c r="CI11" s="106">
        <f t="shared" ref="CI11" si="11">+CI135</f>
        <v>0.15936233488132623</v>
      </c>
    </row>
    <row r="12" spans="2:88" x14ac:dyDescent="0.2">
      <c r="B12" s="60" t="s">
        <v>272</v>
      </c>
      <c r="H12" s="49"/>
      <c r="I12" s="49"/>
      <c r="J12" s="49"/>
      <c r="K12" s="49"/>
      <c r="L12" s="106">
        <f t="shared" ref="L12:AQ12" si="12">+((1+L10)*(1+H10))^0.5-1</f>
        <v>0.75119007154182627</v>
      </c>
      <c r="M12" s="106">
        <f t="shared" si="12"/>
        <v>0.65743771164452469</v>
      </c>
      <c r="N12" s="106">
        <f t="shared" si="12"/>
        <v>0.64388426003336341</v>
      </c>
      <c r="O12" s="106">
        <f t="shared" si="12"/>
        <v>0.47250217449712739</v>
      </c>
      <c r="P12" s="106">
        <f t="shared" si="12"/>
        <v>0.41227760860804197</v>
      </c>
      <c r="Q12" s="106">
        <f t="shared" si="12"/>
        <v>0.42327029197631538</v>
      </c>
      <c r="R12" s="106">
        <f t="shared" si="12"/>
        <v>0.45368756862326198</v>
      </c>
      <c r="S12" s="106">
        <f t="shared" si="12"/>
        <v>0.51181611819795991</v>
      </c>
      <c r="T12" s="106">
        <f t="shared" si="12"/>
        <v>0.53780340728933873</v>
      </c>
      <c r="U12" s="106">
        <f t="shared" si="12"/>
        <v>0.56772774111778412</v>
      </c>
      <c r="V12" s="106">
        <f t="shared" si="12"/>
        <v>0.59312110816886277</v>
      </c>
      <c r="W12" s="106">
        <f t="shared" si="12"/>
        <v>0.5587344215245349</v>
      </c>
      <c r="X12" s="106">
        <f t="shared" si="12"/>
        <v>0.55885892635073775</v>
      </c>
      <c r="Y12" s="106">
        <f t="shared" si="12"/>
        <v>0.49313560795383138</v>
      </c>
      <c r="Z12" s="106">
        <f t="shared" si="12"/>
        <v>0.49420175642009245</v>
      </c>
      <c r="AA12" s="106">
        <f t="shared" si="12"/>
        <v>0.50318810136493108</v>
      </c>
      <c r="AB12" s="106">
        <f t="shared" si="12"/>
        <v>0.46665576625554772</v>
      </c>
      <c r="AC12" s="106">
        <f t="shared" si="12"/>
        <v>0.48717310653375212</v>
      </c>
      <c r="AD12" s="106">
        <f t="shared" si="12"/>
        <v>0.47948822905720556</v>
      </c>
      <c r="AE12" s="106">
        <f t="shared" si="12"/>
        <v>0.51243439631873233</v>
      </c>
      <c r="AF12" s="106">
        <f t="shared" si="12"/>
        <v>0.5056577840555232</v>
      </c>
      <c r="AG12" s="106">
        <f t="shared" si="12"/>
        <v>0.5185639978403489</v>
      </c>
      <c r="AH12" s="106">
        <f t="shared" si="12"/>
        <v>0.51479411133440589</v>
      </c>
      <c r="AI12" s="106">
        <f t="shared" si="12"/>
        <v>0.49025252683360665</v>
      </c>
      <c r="AJ12" s="106">
        <f t="shared" si="12"/>
        <v>0.49108586252569841</v>
      </c>
      <c r="AK12" s="106">
        <f t="shared" si="12"/>
        <v>0.43379914477932324</v>
      </c>
      <c r="AL12" s="106">
        <f t="shared" si="12"/>
        <v>0.39925811180180792</v>
      </c>
      <c r="AM12" s="106">
        <f t="shared" si="12"/>
        <v>0.38567013917079995</v>
      </c>
      <c r="AN12" s="106">
        <f t="shared" si="12"/>
        <v>0.37007902467870157</v>
      </c>
      <c r="AO12" s="106">
        <f t="shared" si="12"/>
        <v>0.34595995354447129</v>
      </c>
      <c r="AP12" s="106">
        <f t="shared" si="12"/>
        <v>0.30734088951362204</v>
      </c>
      <c r="AQ12" s="106">
        <f t="shared" si="12"/>
        <v>0.27483046825354096</v>
      </c>
      <c r="AR12" s="106">
        <f t="shared" ref="AR12:BK12" si="13">+((1+AR10)*(1+AN10))^0.5-1</f>
        <v>0.21749050737602338</v>
      </c>
      <c r="AS12" s="106">
        <f t="shared" si="13"/>
        <v>0.18842959430174022</v>
      </c>
      <c r="AT12" s="106">
        <f t="shared" si="13"/>
        <v>0.25062816590456993</v>
      </c>
      <c r="AU12" s="106">
        <f t="shared" si="13"/>
        <v>0.28828964036413485</v>
      </c>
      <c r="AV12" s="106">
        <f t="shared" si="13"/>
        <v>0.31750627186909663</v>
      </c>
      <c r="AW12" s="106">
        <f t="shared" si="13"/>
        <v>0.31223436142555494</v>
      </c>
      <c r="AX12" s="106">
        <f t="shared" si="13"/>
        <v>0.28196717463657506</v>
      </c>
      <c r="AY12" s="106">
        <f t="shared" si="13"/>
        <v>0.26378181797555289</v>
      </c>
      <c r="AZ12" s="106">
        <f t="shared" si="13"/>
        <v>0.25436600096829132</v>
      </c>
      <c r="BA12" s="106">
        <f t="shared" si="13"/>
        <v>0.24191611967622872</v>
      </c>
      <c r="BB12" s="106">
        <f t="shared" si="13"/>
        <v>0.13614453576475638</v>
      </c>
      <c r="BC12" s="106">
        <f t="shared" si="13"/>
        <v>7.0422182021138591E-2</v>
      </c>
      <c r="BD12" s="106">
        <f t="shared" si="13"/>
        <v>4.6198889170020463E-2</v>
      </c>
      <c r="BE12" s="106">
        <f t="shared" si="13"/>
        <v>4.9043277296388244E-2</v>
      </c>
      <c r="BF12" s="106">
        <f t="shared" si="13"/>
        <v>8.491584888999526E-2</v>
      </c>
      <c r="BG12" s="106">
        <f t="shared" si="13"/>
        <v>9.1449728922931683E-2</v>
      </c>
      <c r="BH12" s="106">
        <f t="shared" si="13"/>
        <v>0.14291568831800161</v>
      </c>
      <c r="BI12" s="106">
        <f t="shared" si="13"/>
        <v>0.16430082856701866</v>
      </c>
      <c r="BJ12" s="106">
        <f t="shared" si="13"/>
        <v>0.21019281315704341</v>
      </c>
      <c r="BK12" s="106">
        <f t="shared" si="13"/>
        <v>0.20683175637756301</v>
      </c>
      <c r="BL12" s="106">
        <f t="shared" ref="BL12" si="14">+((1+BL10)*(1+BH10))^0.5-1</f>
        <v>0.20061648669653742</v>
      </c>
      <c r="BM12" s="106">
        <f t="shared" ref="BM12" si="15">+((1+BM10)*(1+BI10))^0.5-1</f>
        <v>0.17530862032673777</v>
      </c>
      <c r="BN12" s="106">
        <f t="shared" ref="BN12" si="16">+((1+BN10)*(1+BJ10))^0.5-1</f>
        <v>0.15608970687479817</v>
      </c>
      <c r="BO12" s="106">
        <f t="shared" ref="BO12" si="17">+((1+BO10)*(1+BK10))^0.5-1</f>
        <v>0.14872406278647166</v>
      </c>
      <c r="BS12" s="106">
        <f t="shared" ref="BS12:CI12" si="18">+((1+BS10)*(1+BR10))^0.5-1</f>
        <v>1.2535375241049391</v>
      </c>
      <c r="BT12" s="106">
        <f t="shared" si="18"/>
        <v>1.6939474644425547</v>
      </c>
      <c r="BU12" s="106">
        <f t="shared" si="18"/>
        <v>1.18542027446937</v>
      </c>
      <c r="BV12" s="106">
        <f t="shared" si="18"/>
        <v>0.60561956403039741</v>
      </c>
      <c r="BW12" s="106">
        <f t="shared" si="18"/>
        <v>0.45645498234660975</v>
      </c>
      <c r="BX12" s="106">
        <f t="shared" si="18"/>
        <v>0.56511889975409191</v>
      </c>
      <c r="BY12" s="106">
        <f t="shared" si="18"/>
        <v>0.5090765361206564</v>
      </c>
      <c r="BZ12" s="106">
        <f t="shared" si="18"/>
        <v>0.4889830192362441</v>
      </c>
      <c r="CA12" s="106">
        <f t="shared" si="18"/>
        <v>0.50588736970426895</v>
      </c>
      <c r="CB12" s="106">
        <f t="shared" si="18"/>
        <v>0.4213846496673106</v>
      </c>
      <c r="CC12" s="106">
        <f t="shared" si="18"/>
        <v>0.31872485741002032</v>
      </c>
      <c r="CD12" s="106">
        <f t="shared" si="18"/>
        <v>0.240790422482414</v>
      </c>
      <c r="CE12" s="106">
        <f t="shared" si="18"/>
        <v>0.29154581171511618</v>
      </c>
      <c r="CF12" s="106">
        <f t="shared" si="18"/>
        <v>0.16466942842581433</v>
      </c>
      <c r="CG12" s="106">
        <f t="shared" si="18"/>
        <v>6.95406035599897E-2</v>
      </c>
      <c r="CH12" s="106">
        <f t="shared" si="18"/>
        <v>0.18216052161442708</v>
      </c>
      <c r="CI12" s="106">
        <f t="shared" si="18"/>
        <v>0.16807807137727093</v>
      </c>
    </row>
    <row r="13" spans="2:88" x14ac:dyDescent="0.2">
      <c r="B13" s="60" t="s">
        <v>280</v>
      </c>
      <c r="H13" s="49"/>
      <c r="I13" s="49"/>
      <c r="J13" s="49"/>
      <c r="K13" s="49"/>
      <c r="L13" s="57"/>
      <c r="M13" s="57"/>
      <c r="N13" s="57"/>
      <c r="O13" s="57"/>
      <c r="P13" s="106">
        <f t="shared" ref="P13:BK13" si="19">+P144</f>
        <v>0.42420342210079998</v>
      </c>
      <c r="Q13" s="106">
        <f t="shared" si="19"/>
        <v>0.44813252159137473</v>
      </c>
      <c r="R13" s="106">
        <f t="shared" si="19"/>
        <v>0.4840700434243097</v>
      </c>
      <c r="S13" s="106">
        <f t="shared" si="19"/>
        <v>0.52333458019850099</v>
      </c>
      <c r="T13" s="106">
        <f t="shared" si="19"/>
        <v>0.54267857081857596</v>
      </c>
      <c r="U13" s="106">
        <f t="shared" si="19"/>
        <v>0.5652073450139492</v>
      </c>
      <c r="V13" s="106">
        <f t="shared" si="19"/>
        <v>0.58867743587891286</v>
      </c>
      <c r="W13" s="106">
        <f t="shared" si="19"/>
        <v>0.58005294556917408</v>
      </c>
      <c r="X13" s="106">
        <f t="shared" si="19"/>
        <v>0.60255729773709499</v>
      </c>
      <c r="Y13" s="106">
        <f t="shared" si="19"/>
        <v>0.54521970129142261</v>
      </c>
      <c r="Z13" s="106">
        <f t="shared" si="19"/>
        <v>0.54484029527117861</v>
      </c>
      <c r="AA13" s="106">
        <f t="shared" si="19"/>
        <v>0.56457859125347709</v>
      </c>
      <c r="AB13" s="106">
        <f t="shared" si="19"/>
        <v>0.53304922694698442</v>
      </c>
      <c r="AC13" s="106">
        <f t="shared" si="19"/>
        <v>0.54716451052180592</v>
      </c>
      <c r="AD13" s="106">
        <f t="shared" si="19"/>
        <v>0.53805642798598274</v>
      </c>
      <c r="AE13" s="106">
        <f t="shared" si="19"/>
        <v>0.55673482188608103</v>
      </c>
      <c r="AF13" s="106">
        <f t="shared" si="19"/>
        <v>0.53575201765238689</v>
      </c>
      <c r="AG13" s="106">
        <f t="shared" si="19"/>
        <v>0.53012550443699635</v>
      </c>
      <c r="AH13" s="106">
        <f t="shared" si="19"/>
        <v>0.50870248691271169</v>
      </c>
      <c r="AI13" s="106">
        <f t="shared" si="19"/>
        <v>0.47423622832752477</v>
      </c>
      <c r="AJ13" s="106">
        <f t="shared" si="19"/>
        <v>0.45930217990306943</v>
      </c>
      <c r="AK13" s="106">
        <f t="shared" si="19"/>
        <v>0.42409483354034005</v>
      </c>
      <c r="AL13" s="106">
        <f t="shared" si="19"/>
        <v>0.39859048135441077</v>
      </c>
      <c r="AM13" s="106">
        <f t="shared" si="19"/>
        <v>0.3820266866088935</v>
      </c>
      <c r="AN13" s="106">
        <f t="shared" si="19"/>
        <v>0.36119546247654744</v>
      </c>
      <c r="AO13" s="106">
        <f t="shared" si="19"/>
        <v>0.34921525116030039</v>
      </c>
      <c r="AP13" s="106">
        <f t="shared" si="19"/>
        <v>0.32590612787060214</v>
      </c>
      <c r="AQ13" s="106">
        <f t="shared" si="19"/>
        <v>0.29689519370226303</v>
      </c>
      <c r="AR13" s="106">
        <f t="shared" si="19"/>
        <v>0.24719031340591324</v>
      </c>
      <c r="AS13" s="106">
        <f t="shared" si="19"/>
        <v>0.21802514809972617</v>
      </c>
      <c r="AT13" s="106">
        <f t="shared" si="19"/>
        <v>0.25775284582518343</v>
      </c>
      <c r="AU13" s="106">
        <f t="shared" si="19"/>
        <v>0.28941505549067936</v>
      </c>
      <c r="AV13" s="106">
        <f t="shared" si="19"/>
        <v>0.30965003527547807</v>
      </c>
      <c r="AW13" s="106">
        <f t="shared" si="19"/>
        <v>0.30009532181843035</v>
      </c>
      <c r="AX13" s="106">
        <f t="shared" si="19"/>
        <v>0.27283893586841379</v>
      </c>
      <c r="AY13" s="106">
        <f t="shared" si="19"/>
        <v>0.26184133484300864</v>
      </c>
      <c r="AZ13" s="106">
        <f t="shared" si="19"/>
        <v>0.25697135904923241</v>
      </c>
      <c r="BA13" s="106">
        <f t="shared" si="19"/>
        <v>0.24722536650768401</v>
      </c>
      <c r="BB13" s="106">
        <f t="shared" si="19"/>
        <v>0.16699684076300669</v>
      </c>
      <c r="BC13" s="106">
        <f t="shared" si="19"/>
        <v>0.10841192673251143</v>
      </c>
      <c r="BD13" s="106">
        <f t="shared" si="19"/>
        <v>7.7836805846544399E-2</v>
      </c>
      <c r="BE13" s="106">
        <f t="shared" si="19"/>
        <v>7.6360673477426921E-2</v>
      </c>
      <c r="BF13" s="106">
        <f t="shared" si="19"/>
        <v>0.10872934009785662</v>
      </c>
      <c r="BG13" s="106">
        <f t="shared" si="19"/>
        <v>0.11356566195335205</v>
      </c>
      <c r="BH13" s="106">
        <f t="shared" si="19"/>
        <v>0.15739394323846279</v>
      </c>
      <c r="BI13" s="106">
        <f>+BI144</f>
        <v>0.17481335069172066</v>
      </c>
      <c r="BJ13" s="106">
        <f>+BJ144</f>
        <v>0.20667854202477143</v>
      </c>
      <c r="BK13" s="106">
        <f t="shared" si="19"/>
        <v>0.20065400075759099</v>
      </c>
      <c r="BL13" s="106">
        <f t="shared" ref="BL13:BO13" si="20">+BL144</f>
        <v>0.21846974871722269</v>
      </c>
      <c r="BM13" s="106">
        <f t="shared" si="20"/>
        <v>0.19574963173188187</v>
      </c>
      <c r="BN13" s="106">
        <f t="shared" si="20"/>
        <v>0.18210014171220767</v>
      </c>
      <c r="BO13" s="106">
        <f t="shared" si="20"/>
        <v>0.16490342947387693</v>
      </c>
      <c r="BU13" s="49"/>
      <c r="BV13" s="57"/>
      <c r="BW13" s="106">
        <f t="shared" ref="BW13:CH13" si="21">+BW144</f>
        <v>0.47591569915248177</v>
      </c>
      <c r="BX13" s="106">
        <f t="shared" si="21"/>
        <v>0.57103486062910958</v>
      </c>
      <c r="BY13" s="106">
        <f t="shared" si="21"/>
        <v>0.56192127671314629</v>
      </c>
      <c r="BZ13" s="106">
        <f t="shared" si="21"/>
        <v>0.5448584506684635</v>
      </c>
      <c r="CA13" s="106">
        <f t="shared" si="21"/>
        <v>0.50774341408442791</v>
      </c>
      <c r="CB13" s="106">
        <f t="shared" si="21"/>
        <v>0.41114113662116791</v>
      </c>
      <c r="CC13" s="106">
        <f t="shared" si="21"/>
        <v>0.32940074196454172</v>
      </c>
      <c r="CD13" s="106">
        <f t="shared" si="21"/>
        <v>0.25621971847492708</v>
      </c>
      <c r="CE13" s="106">
        <f t="shared" si="21"/>
        <v>0.2834211962982045</v>
      </c>
      <c r="CF13" s="106">
        <f t="shared" si="21"/>
        <v>0.18571593580563261</v>
      </c>
      <c r="CG13" s="106">
        <f t="shared" si="21"/>
        <v>9.5002235622217546E-2</v>
      </c>
      <c r="CH13" s="106">
        <f t="shared" si="21"/>
        <v>0.18520096293591704</v>
      </c>
      <c r="CI13" s="106">
        <f t="shared" ref="CI13" si="22">+CI144</f>
        <v>0.18812266806722255</v>
      </c>
    </row>
    <row r="14" spans="2:88" x14ac:dyDescent="0.2">
      <c r="B14" s="60" t="s">
        <v>257</v>
      </c>
      <c r="E14" s="106">
        <f t="shared" ref="E14:AJ14" si="23">+E9/D9-1</f>
        <v>0.24927536231884062</v>
      </c>
      <c r="F14" s="106">
        <f t="shared" si="23"/>
        <v>8.3526682134570818E-2</v>
      </c>
      <c r="G14" s="106">
        <f t="shared" si="23"/>
        <v>0.56531049250535337</v>
      </c>
      <c r="H14" s="106">
        <f t="shared" si="23"/>
        <v>0</v>
      </c>
      <c r="I14" s="106">
        <f t="shared" si="23"/>
        <v>0.22435020519835835</v>
      </c>
      <c r="J14" s="106">
        <f t="shared" si="23"/>
        <v>6.5921787709497304E-2</v>
      </c>
      <c r="K14" s="106">
        <f t="shared" si="23"/>
        <v>0.18553459119496862</v>
      </c>
      <c r="L14" s="106">
        <f t="shared" si="23"/>
        <v>-6.454465075154725E-2</v>
      </c>
      <c r="M14" s="106">
        <f t="shared" si="23"/>
        <v>0.11909262759924388</v>
      </c>
      <c r="N14" s="106">
        <f t="shared" si="23"/>
        <v>6.5878378378378288E-2</v>
      </c>
      <c r="O14" s="106">
        <f t="shared" si="23"/>
        <v>0.25594294770206028</v>
      </c>
      <c r="P14" s="106">
        <f t="shared" si="23"/>
        <v>-8.0126182965299719E-2</v>
      </c>
      <c r="Q14" s="106">
        <f t="shared" si="23"/>
        <v>0.24348422496570654</v>
      </c>
      <c r="R14" s="106">
        <f t="shared" si="23"/>
        <v>0.11196911196911197</v>
      </c>
      <c r="S14" s="106">
        <f t="shared" si="23"/>
        <v>0.28224206349206349</v>
      </c>
      <c r="T14" s="106">
        <f t="shared" si="23"/>
        <v>-3.2108317214700199E-2</v>
      </c>
      <c r="U14" s="106">
        <f t="shared" si="23"/>
        <v>0.16306954436450849</v>
      </c>
      <c r="V14" s="106">
        <f t="shared" si="23"/>
        <v>0.10068728522336778</v>
      </c>
      <c r="W14" s="106">
        <f t="shared" si="23"/>
        <v>0.20231033406181709</v>
      </c>
      <c r="X14" s="106">
        <f t="shared" si="23"/>
        <v>-7.9979226175019513E-2</v>
      </c>
      <c r="Y14" s="106">
        <f t="shared" si="23"/>
        <v>0.14084109511713239</v>
      </c>
      <c r="Z14" s="106">
        <f t="shared" si="23"/>
        <v>0.11355764473033148</v>
      </c>
      <c r="AA14" s="106">
        <f t="shared" si="23"/>
        <v>0.29771161964007997</v>
      </c>
      <c r="AB14" s="106">
        <f t="shared" si="23"/>
        <v>-7.8582434514637867E-2</v>
      </c>
      <c r="AC14" s="106">
        <f t="shared" si="23"/>
        <v>0.19583797844667417</v>
      </c>
      <c r="AD14" s="106">
        <f t="shared" si="23"/>
        <v>8.9341205717837102E-2</v>
      </c>
      <c r="AE14" s="106">
        <f t="shared" si="23"/>
        <v>0.25645414348880324</v>
      </c>
      <c r="AF14" s="106">
        <f t="shared" si="23"/>
        <v>-8.8205244636167524E-2</v>
      </c>
      <c r="AG14" s="106">
        <f t="shared" si="23"/>
        <v>0.16048306772908361</v>
      </c>
      <c r="AH14" s="106">
        <f t="shared" si="23"/>
        <v>0.10803561849586951</v>
      </c>
      <c r="AI14" s="106">
        <f t="shared" si="23"/>
        <v>0.25600309837335389</v>
      </c>
      <c r="AJ14" s="106">
        <f t="shared" si="23"/>
        <v>-7.755164970706141E-2</v>
      </c>
      <c r="AK14" s="106">
        <f t="shared" ref="AK14:BK14" si="24">+AK9/AJ9-1</f>
        <v>0.10571619588835035</v>
      </c>
      <c r="AL14" s="106">
        <f t="shared" si="24"/>
        <v>3.7487718237472656E-2</v>
      </c>
      <c r="AM14" s="106">
        <f t="shared" si="24"/>
        <v>0.23217017556640207</v>
      </c>
      <c r="AN14" s="106">
        <f t="shared" si="24"/>
        <v>-0.10860825351779591</v>
      </c>
      <c r="AO14" s="106">
        <f t="shared" si="24"/>
        <v>0.11998408171386887</v>
      </c>
      <c r="AP14" s="106">
        <f t="shared" si="24"/>
        <v>4.536302262229075E-2</v>
      </c>
      <c r="AQ14" s="106">
        <f t="shared" si="24"/>
        <v>0.19431225923408113</v>
      </c>
      <c r="AR14" s="106">
        <f t="shared" si="24"/>
        <v>-0.15866616070581541</v>
      </c>
      <c r="AS14" s="106">
        <f t="shared" si="24"/>
        <v>5.3560354062130111E-2</v>
      </c>
      <c r="AT14" s="106">
        <f t="shared" si="24"/>
        <v>0.14892706159362112</v>
      </c>
      <c r="AU14" s="106">
        <f t="shared" si="24"/>
        <v>0.3074988355845365</v>
      </c>
      <c r="AV14" s="106">
        <f t="shared" si="24"/>
        <v>-6.7718723282986559E-2</v>
      </c>
      <c r="AW14" s="106">
        <f t="shared" si="24"/>
        <v>0.11103893622712158</v>
      </c>
      <c r="AX14" s="106">
        <f t="shared" si="24"/>
        <v>-2.3042267083949186E-3</v>
      </c>
      <c r="AY14" s="106">
        <f t="shared" si="24"/>
        <v>0.16066873491899347</v>
      </c>
      <c r="AZ14" s="106">
        <f t="shared" si="24"/>
        <v>-0.1711561878174096</v>
      </c>
      <c r="BA14" s="106">
        <f t="shared" si="24"/>
        <v>3.2750465816253405E-2</v>
      </c>
      <c r="BB14" s="106">
        <f t="shared" si="24"/>
        <v>-3.8442856151550853E-2</v>
      </c>
      <c r="BC14" s="106">
        <f t="shared" si="24"/>
        <v>0.1606047485025619</v>
      </c>
      <c r="BD14" s="106">
        <f t="shared" si="24"/>
        <v>-0.10943572205813767</v>
      </c>
      <c r="BE14" s="106">
        <f t="shared" si="24"/>
        <v>0.1170884971199162</v>
      </c>
      <c r="BF14" s="106">
        <f t="shared" si="24"/>
        <v>6.7095846745210741E-2</v>
      </c>
      <c r="BG14" s="106">
        <f t="shared" si="24"/>
        <v>0.17469103262461205</v>
      </c>
      <c r="BH14" s="106">
        <f t="shared" si="24"/>
        <v>-9.1147066889382011E-2</v>
      </c>
      <c r="BI14" s="106">
        <f t="shared" si="24"/>
        <v>7.1759703744342263E-2</v>
      </c>
      <c r="BJ14" s="106">
        <f t="shared" si="24"/>
        <v>3.8852345729569304E-2</v>
      </c>
      <c r="BK14" s="106">
        <f t="shared" si="24"/>
        <v>0.15416702798779314</v>
      </c>
      <c r="BL14" s="106">
        <f t="shared" ref="BL14" si="25">+BL9/BK9-1</f>
        <v>-0.118585040600372</v>
      </c>
      <c r="BM14" s="106">
        <f t="shared" ref="BM14" si="26">+BM9/BL9-1</f>
        <v>7.0490499607232637E-2</v>
      </c>
      <c r="BN14" s="106">
        <f t="shared" ref="BN14" si="27">+BN9/BM9-1</f>
        <v>3.2482395981745515E-2</v>
      </c>
      <c r="BO14" s="106">
        <f t="shared" ref="BO14" si="28">+BO9/BN9-1</f>
        <v>0.15977040286209498</v>
      </c>
      <c r="BU14" s="49"/>
      <c r="BV14" s="57"/>
      <c r="BW14" s="106"/>
      <c r="BX14" s="106"/>
      <c r="BY14" s="106"/>
      <c r="BZ14" s="106"/>
      <c r="CA14" s="106"/>
      <c r="CB14" s="106"/>
      <c r="CC14" s="106"/>
      <c r="CD14" s="106"/>
      <c r="CE14" s="106"/>
      <c r="CF14" s="106"/>
      <c r="CG14" s="106"/>
      <c r="CH14" s="106"/>
      <c r="CI14" s="106"/>
    </row>
    <row r="15" spans="2:88" x14ac:dyDescent="0.2">
      <c r="B15" s="60" t="s">
        <v>356</v>
      </c>
      <c r="E15" s="106"/>
      <c r="F15" s="106"/>
      <c r="G15" s="106"/>
      <c r="H15" s="106">
        <f t="shared" ref="H15:AM15" si="29">+H153</f>
        <v>-3.7495330768684276E-3</v>
      </c>
      <c r="I15" s="106">
        <f t="shared" si="29"/>
        <v>0.20338860043342466</v>
      </c>
      <c r="J15" s="106">
        <f t="shared" si="29"/>
        <v>7.1524121892752035E-2</v>
      </c>
      <c r="K15" s="106">
        <f t="shared" si="29"/>
        <v>0.20952324325525562</v>
      </c>
      <c r="L15" s="106">
        <f t="shared" si="29"/>
        <v>-6.0697061881760161E-2</v>
      </c>
      <c r="M15" s="106">
        <f t="shared" si="29"/>
        <v>0.13283395008403853</v>
      </c>
      <c r="N15" s="106">
        <f t="shared" si="29"/>
        <v>7.1291539673740134E-2</v>
      </c>
      <c r="O15" s="106">
        <f t="shared" si="29"/>
        <v>0.24765466466874408</v>
      </c>
      <c r="P15" s="106">
        <f t="shared" si="29"/>
        <v>-7.802963086909398E-2</v>
      </c>
      <c r="Q15" s="106">
        <f t="shared" si="29"/>
        <v>0.25799969598378159</v>
      </c>
      <c r="R15" s="106">
        <f t="shared" si="29"/>
        <v>0.12302579072828435</v>
      </c>
      <c r="S15" s="106">
        <f t="shared" si="29"/>
        <v>0.2706006399800216</v>
      </c>
      <c r="T15" s="106">
        <f t="shared" si="29"/>
        <v>-3.0223720070496896E-2</v>
      </c>
      <c r="U15" s="106">
        <f t="shared" si="29"/>
        <v>0.15292446491948208</v>
      </c>
      <c r="V15" s="106">
        <f t="shared" si="29"/>
        <v>0.11232935356765972</v>
      </c>
      <c r="W15" s="106">
        <f t="shared" si="29"/>
        <v>0.24126399450603975</v>
      </c>
      <c r="X15" s="106">
        <f t="shared" si="29"/>
        <v>-4.6726967134056885E-2</v>
      </c>
      <c r="Y15" s="106">
        <f t="shared" si="29"/>
        <v>0.15015383220951262</v>
      </c>
      <c r="Z15" s="106">
        <f t="shared" si="29"/>
        <v>0.12581959023826972</v>
      </c>
      <c r="AA15" s="106">
        <f t="shared" si="29"/>
        <v>0.30965696757456307</v>
      </c>
      <c r="AB15" s="106">
        <f t="shared" si="29"/>
        <v>-7.6994469230076579E-2</v>
      </c>
      <c r="AC15" s="106">
        <f t="shared" si="29"/>
        <v>0.17804162396489986</v>
      </c>
      <c r="AD15" s="106">
        <f t="shared" si="29"/>
        <v>8.9808204411382375E-2</v>
      </c>
      <c r="AE15" s="106">
        <f t="shared" si="29"/>
        <v>0.27464484750457396</v>
      </c>
      <c r="AF15" s="106">
        <f t="shared" si="29"/>
        <v>-8.771559270099849E-2</v>
      </c>
      <c r="AG15" s="106">
        <f t="shared" si="29"/>
        <v>0.15074516617881994</v>
      </c>
      <c r="AH15" s="106">
        <f t="shared" si="29"/>
        <v>8.8000878092203472E-2</v>
      </c>
      <c r="AI15" s="106">
        <f t="shared" si="29"/>
        <v>0.26007943412739509</v>
      </c>
      <c r="AJ15" s="106">
        <f t="shared" si="29"/>
        <v>-9.1386882140419456E-2</v>
      </c>
      <c r="AK15" s="106">
        <f t="shared" si="29"/>
        <v>0.12470333433942793</v>
      </c>
      <c r="AL15" s="106">
        <f t="shared" si="29"/>
        <v>5.5928329485442685E-2</v>
      </c>
      <c r="AM15" s="106">
        <f t="shared" si="29"/>
        <v>0.23916446987410955</v>
      </c>
      <c r="AN15" s="106">
        <f t="shared" ref="AN15:BK15" si="30">+AN153</f>
        <v>-0.11026902857753118</v>
      </c>
      <c r="AO15" s="106">
        <f t="shared" si="30"/>
        <v>0.12608819711639363</v>
      </c>
      <c r="AP15" s="106">
        <f t="shared" si="30"/>
        <v>5.2024495108795143E-2</v>
      </c>
      <c r="AQ15" s="106">
        <f t="shared" si="30"/>
        <v>0.19525435883975573</v>
      </c>
      <c r="AR15" s="106">
        <f t="shared" si="30"/>
        <v>-0.15138950661738426</v>
      </c>
      <c r="AS15" s="106">
        <f t="shared" si="30"/>
        <v>6.6071275246882832E-2</v>
      </c>
      <c r="AT15" s="106">
        <f t="shared" si="30"/>
        <v>0.12343631617500583</v>
      </c>
      <c r="AU15" s="106">
        <f t="shared" si="30"/>
        <v>0.2966665630671006</v>
      </c>
      <c r="AV15" s="106">
        <f t="shared" si="30"/>
        <v>-7.6001593354704577E-2</v>
      </c>
      <c r="AW15" s="106">
        <f t="shared" si="30"/>
        <v>0.11104617396971239</v>
      </c>
      <c r="AX15" s="106">
        <f t="shared" si="30"/>
        <v>6.40824693077513E-3</v>
      </c>
      <c r="AY15" s="106">
        <f t="shared" si="30"/>
        <v>0.17581501786020226</v>
      </c>
      <c r="AZ15" s="106">
        <f t="shared" si="30"/>
        <v>-0.16935952149213407</v>
      </c>
      <c r="BA15" s="106">
        <f t="shared" si="30"/>
        <v>5.1839215227661439E-2</v>
      </c>
      <c r="BB15" s="106">
        <f t="shared" si="30"/>
        <v>-1.308096539084791E-2</v>
      </c>
      <c r="BC15" s="106">
        <f t="shared" si="30"/>
        <v>0.16635642337590051</v>
      </c>
      <c r="BD15" s="106">
        <f t="shared" si="30"/>
        <v>-0.125179684642305</v>
      </c>
      <c r="BE15" s="106">
        <f t="shared" si="30"/>
        <v>0.114209052592813</v>
      </c>
      <c r="BF15" s="106">
        <f t="shared" si="30"/>
        <v>7.0964484995990951E-2</v>
      </c>
      <c r="BG15" s="106">
        <f t="shared" si="30"/>
        <v>0.18188112562087588</v>
      </c>
      <c r="BH15" s="106">
        <f t="shared" si="30"/>
        <v>-9.4344458845611601E-2</v>
      </c>
      <c r="BI15" s="106">
        <f>+BI153</f>
        <v>8.0253556959853478E-2</v>
      </c>
      <c r="BJ15" s="106">
        <f>+BJ153</f>
        <v>3.2368056618133023E-2</v>
      </c>
      <c r="BK15" s="106">
        <f t="shared" si="30"/>
        <v>0.17021190024781063</v>
      </c>
      <c r="BL15" s="106">
        <f t="shared" ref="BL15:BO15" si="31">+BL153</f>
        <v>-0.10285974107323437</v>
      </c>
      <c r="BM15" s="106">
        <f t="shared" si="31"/>
        <v>7.0490499607232637E-2</v>
      </c>
      <c r="BN15" s="106">
        <f t="shared" si="31"/>
        <v>3.2482395981745515E-2</v>
      </c>
      <c r="BO15" s="106">
        <f t="shared" si="31"/>
        <v>0.15977040286209498</v>
      </c>
      <c r="BU15" s="49"/>
      <c r="BV15" s="57"/>
      <c r="BW15" s="106"/>
      <c r="BX15" s="106"/>
      <c r="BY15" s="106"/>
      <c r="BZ15" s="106"/>
      <c r="CA15" s="106"/>
      <c r="CB15" s="106"/>
      <c r="CC15" s="106"/>
      <c r="CD15" s="106"/>
      <c r="CE15" s="106"/>
      <c r="CF15" s="106"/>
      <c r="CG15" s="106"/>
      <c r="CH15" s="106"/>
      <c r="CI15" s="106"/>
    </row>
    <row r="16" spans="2:88" ht="10.15" x14ac:dyDescent="0.2">
      <c r="B16" s="60"/>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c r="AU16" s="106"/>
      <c r="AV16" s="106"/>
      <c r="AW16" s="106"/>
      <c r="AX16" s="106"/>
      <c r="AY16" s="106"/>
      <c r="AZ16" s="106"/>
      <c r="BA16" s="106"/>
      <c r="BB16" s="106"/>
      <c r="BC16" s="106"/>
      <c r="BD16" s="106"/>
      <c r="BE16" s="106"/>
      <c r="BF16" s="106"/>
      <c r="BG16" s="106"/>
      <c r="BH16" s="106"/>
      <c r="BI16" s="106"/>
      <c r="BJ16" s="106"/>
      <c r="BK16" s="100"/>
      <c r="BL16" s="106"/>
      <c r="BM16" s="106"/>
      <c r="BN16" s="106"/>
      <c r="BO16" s="106"/>
      <c r="BU16" s="49"/>
      <c r="BV16" s="57"/>
      <c r="BW16" s="106"/>
      <c r="BX16" s="106"/>
      <c r="BY16" s="106"/>
      <c r="BZ16" s="106"/>
      <c r="CA16" s="106"/>
      <c r="CB16" s="106"/>
      <c r="CC16" s="106"/>
      <c r="CD16" s="106"/>
      <c r="CE16" s="106"/>
      <c r="CF16" s="106"/>
      <c r="CG16" s="106"/>
      <c r="CH16" s="106"/>
      <c r="CI16" s="106"/>
    </row>
    <row r="17" spans="2:89" x14ac:dyDescent="0.2">
      <c r="B17" s="62" t="s">
        <v>19</v>
      </c>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c r="BO17" s="106"/>
      <c r="BU17" s="49"/>
      <c r="BV17" s="57"/>
      <c r="BW17" s="106"/>
      <c r="BX17" s="106"/>
      <c r="BY17" s="106"/>
      <c r="BZ17" s="106"/>
      <c r="CA17" s="106"/>
      <c r="CB17" s="106"/>
      <c r="CC17" s="106"/>
      <c r="CD17" s="106"/>
      <c r="CE17" s="106"/>
      <c r="CF17" s="106"/>
      <c r="CG17" s="106"/>
      <c r="CH17" s="106"/>
      <c r="CI17" s="106"/>
    </row>
    <row r="18" spans="2:89" x14ac:dyDescent="0.2">
      <c r="B18" s="60" t="s">
        <v>361</v>
      </c>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c r="AX18" s="106"/>
      <c r="AY18" s="106"/>
      <c r="AZ18" s="106"/>
      <c r="BA18" s="106"/>
      <c r="BB18" s="106"/>
      <c r="BC18" s="106"/>
      <c r="BD18" s="106"/>
      <c r="BE18" s="106"/>
      <c r="BF18" s="106"/>
      <c r="BG18" s="202"/>
      <c r="BH18" s="100">
        <f>+BH9</f>
        <v>36455</v>
      </c>
      <c r="BI18" s="100">
        <f>+BI9</f>
        <v>39071</v>
      </c>
      <c r="BJ18" s="100">
        <f>+BJ9</f>
        <v>40589</v>
      </c>
      <c r="BK18" s="202">
        <f>_xll.ciqfunctions.udf.CIQ($B$2, "IQ_REVENUE_EST", BK$1)</f>
        <v>46993.627390000001</v>
      </c>
      <c r="BL18" s="202">
        <f>_xll.ciqfunctions.udf.CIQ($B$2, "IQ_REVENUE_EST", BL$1)</f>
        <v>41361.415509999999</v>
      </c>
      <c r="BM18" s="202">
        <f>_xll.ciqfunctions.udf.CIQ($B$2, "IQ_REVENUE_EST", BM$1)</f>
        <v>44515.42007</v>
      </c>
      <c r="BN18" s="202">
        <f>_xll.ciqfunctions.udf.CIQ($B$2, "IQ_REVENUE_EST", BN$1)</f>
        <v>45702.874239999997</v>
      </c>
      <c r="BO18" s="202">
        <f>_xll.ciqfunctions.udf.CIQ($B$2, "IQ_REVENUE_EST", BO$1)</f>
        <v>54247.853020000002</v>
      </c>
      <c r="BU18" s="49"/>
      <c r="BV18" s="57"/>
      <c r="BW18" s="106"/>
      <c r="BX18" s="106"/>
      <c r="BY18" s="106"/>
      <c r="BZ18" s="106"/>
      <c r="CA18" s="106"/>
      <c r="CB18" s="106"/>
      <c r="CC18" s="106"/>
      <c r="CD18" s="106"/>
      <c r="CE18" s="106"/>
      <c r="CF18" s="106"/>
      <c r="CG18" s="202"/>
      <c r="CH18" s="202">
        <f>_xll.ciqfunctions.udf.CIQ($B$2, "IQ_REVENUE_EST", CH$1)</f>
        <v>162991.91159</v>
      </c>
      <c r="CI18" s="202">
        <f>_xll.ciqfunctions.udf.CIQ($B$2, "IQ_REVENUE_EST", CI$1)</f>
        <v>187028.36274000001</v>
      </c>
      <c r="CK18" s="177"/>
    </row>
    <row r="19" spans="2:89" x14ac:dyDescent="0.2">
      <c r="B19" s="101" t="s">
        <v>17</v>
      </c>
      <c r="H19" s="49"/>
      <c r="I19" s="49"/>
      <c r="J19" s="49"/>
      <c r="K19" s="49"/>
      <c r="L19" s="49"/>
      <c r="AB19" s="49"/>
      <c r="AC19" s="49"/>
      <c r="AD19" s="49"/>
      <c r="AT19" s="64"/>
      <c r="BG19" s="106"/>
      <c r="BH19" s="106">
        <f>+IFERROR(BH18/BD9-1,"n/a")</f>
        <v>0.27264793157619138</v>
      </c>
      <c r="BI19" s="106">
        <f>+IFERROR(BI18/BE9-1,"n/a")</f>
        <v>0.2210069064658271</v>
      </c>
      <c r="BJ19" s="106">
        <f>+IFERROR(BJ18/BF9-1,"n/a")</f>
        <v>0.18868974404029748</v>
      </c>
      <c r="BK19" s="106">
        <f>+IFERROR(BK18/BG9-1,"n/a")</f>
        <v>0.17158952382139558</v>
      </c>
      <c r="BL19" s="106">
        <f t="shared" ref="BL19:BO19" si="32">+IFERROR(BL18/BH9-1,"n/a")</f>
        <v>0.13458827348786162</v>
      </c>
      <c r="BM19" s="106">
        <f t="shared" si="32"/>
        <v>0.13934683192137398</v>
      </c>
      <c r="BN19" s="106">
        <f t="shared" si="32"/>
        <v>0.12599162925915874</v>
      </c>
      <c r="BO19" s="106">
        <f t="shared" si="32"/>
        <v>0.15799194842827657</v>
      </c>
      <c r="BU19" s="49"/>
      <c r="CG19" s="106"/>
      <c r="CH19" s="106">
        <f>+IFERROR(CH18/CG9-1,"n/a")</f>
        <v>0.20823353118212617</v>
      </c>
      <c r="CI19" s="106">
        <f>+IFERROR(CI18/CH9-1,"n/a")</f>
        <v>0.14768444928756908</v>
      </c>
    </row>
    <row r="20" spans="2:89" x14ac:dyDescent="0.2">
      <c r="B20" s="101"/>
      <c r="H20" s="49"/>
      <c r="I20" s="49"/>
      <c r="J20" s="49"/>
      <c r="K20" s="49"/>
      <c r="L20" s="49"/>
      <c r="AB20" s="49"/>
      <c r="AC20" s="49"/>
      <c r="AD20" s="49"/>
      <c r="AT20" s="64"/>
      <c r="BG20" s="106"/>
      <c r="BH20" s="106"/>
      <c r="BI20" s="106"/>
      <c r="BJ20" s="106"/>
      <c r="BK20" s="106"/>
      <c r="BL20" s="106"/>
      <c r="BM20" s="106"/>
      <c r="BN20" s="106"/>
      <c r="BO20" s="106"/>
      <c r="BU20" s="49"/>
      <c r="CG20" s="106"/>
      <c r="CH20" s="106"/>
      <c r="CI20" s="106"/>
    </row>
    <row r="21" spans="2:89" x14ac:dyDescent="0.2">
      <c r="B21" t="s">
        <v>515</v>
      </c>
      <c r="D21" s="64">
        <f>+D9-D25</f>
        <v>100</v>
      </c>
      <c r="E21" s="64">
        <f t="shared" ref="E21:BT21" si="33">+E9-E25</f>
        <v>111</v>
      </c>
      <c r="F21" s="64">
        <f t="shared" si="33"/>
        <v>131</v>
      </c>
      <c r="G21" s="64">
        <f t="shared" si="33"/>
        <v>150</v>
      </c>
      <c r="H21" s="64">
        <f t="shared" si="33"/>
        <v>167</v>
      </c>
      <c r="I21" s="64">
        <f t="shared" si="33"/>
        <v>210</v>
      </c>
      <c r="J21" s="64">
        <f t="shared" si="33"/>
        <v>236</v>
      </c>
      <c r="K21" s="64">
        <f t="shared" si="33"/>
        <v>247</v>
      </c>
      <c r="L21" s="64">
        <f t="shared" si="33"/>
        <v>277</v>
      </c>
      <c r="M21" s="64">
        <f t="shared" si="33"/>
        <v>367</v>
      </c>
      <c r="N21" s="64">
        <f t="shared" si="33"/>
        <v>322</v>
      </c>
      <c r="O21" s="64">
        <f t="shared" si="33"/>
        <v>398</v>
      </c>
      <c r="P21" s="64">
        <f t="shared" si="33"/>
        <v>413</v>
      </c>
      <c r="Q21" s="64">
        <f t="shared" si="33"/>
        <v>465</v>
      </c>
      <c r="R21" s="64">
        <f t="shared" si="33"/>
        <v>507</v>
      </c>
      <c r="S21" s="64">
        <f t="shared" si="33"/>
        <v>491</v>
      </c>
      <c r="T21" s="64">
        <f t="shared" si="33"/>
        <v>462</v>
      </c>
      <c r="U21" s="64">
        <f t="shared" si="33"/>
        <v>473</v>
      </c>
      <c r="V21" s="64">
        <f t="shared" si="33"/>
        <v>565</v>
      </c>
      <c r="W21" s="64">
        <f t="shared" si="33"/>
        <v>653</v>
      </c>
      <c r="X21" s="64">
        <f t="shared" si="33"/>
        <v>654</v>
      </c>
      <c r="Y21" s="64">
        <f t="shared" si="33"/>
        <v>668</v>
      </c>
      <c r="Z21" s="64">
        <f t="shared" si="33"/>
        <v>720</v>
      </c>
      <c r="AA21" s="64">
        <f t="shared" si="33"/>
        <v>824</v>
      </c>
      <c r="AB21" s="64">
        <f t="shared" si="33"/>
        <v>838</v>
      </c>
      <c r="AC21" s="64">
        <f t="shared" si="33"/>
        <v>917</v>
      </c>
      <c r="AD21" s="64">
        <f t="shared" si="33"/>
        <v>987</v>
      </c>
      <c r="AE21" s="64">
        <f t="shared" si="33"/>
        <v>1047</v>
      </c>
      <c r="AF21" s="64">
        <f t="shared" si="33"/>
        <v>1159</v>
      </c>
      <c r="AG21" s="64">
        <f t="shared" si="33"/>
        <v>1237</v>
      </c>
      <c r="AH21" s="64">
        <f t="shared" si="33"/>
        <v>1448</v>
      </c>
      <c r="AI21" s="64">
        <f t="shared" si="33"/>
        <v>1611</v>
      </c>
      <c r="AJ21" s="64">
        <f t="shared" si="33"/>
        <v>1927</v>
      </c>
      <c r="AK21" s="64">
        <f t="shared" si="33"/>
        <v>2214</v>
      </c>
      <c r="AL21" s="64">
        <f t="shared" si="33"/>
        <v>2418</v>
      </c>
      <c r="AM21" s="64">
        <f t="shared" si="33"/>
        <v>2796</v>
      </c>
      <c r="AN21" s="64">
        <f t="shared" si="33"/>
        <v>2816</v>
      </c>
      <c r="AO21" s="64">
        <f t="shared" si="33"/>
        <v>3307</v>
      </c>
      <c r="AP21" s="64">
        <f t="shared" si="33"/>
        <v>3155</v>
      </c>
      <c r="AQ21" s="64">
        <f t="shared" si="33"/>
        <v>3492</v>
      </c>
      <c r="AR21" s="64">
        <f t="shared" si="33"/>
        <v>3459</v>
      </c>
      <c r="AS21" s="64">
        <f t="shared" si="33"/>
        <v>3829</v>
      </c>
      <c r="AT21" s="64">
        <f t="shared" si="33"/>
        <v>4194</v>
      </c>
      <c r="AU21" s="64">
        <f t="shared" si="33"/>
        <v>5210</v>
      </c>
      <c r="AV21" s="64">
        <f t="shared" si="33"/>
        <v>5131</v>
      </c>
      <c r="AW21" s="64">
        <f t="shared" si="33"/>
        <v>5399</v>
      </c>
      <c r="AX21" s="64">
        <f t="shared" si="33"/>
        <v>5771</v>
      </c>
      <c r="AY21" s="64">
        <f t="shared" si="33"/>
        <v>6348</v>
      </c>
      <c r="AZ21" s="64">
        <f t="shared" si="33"/>
        <v>6005</v>
      </c>
      <c r="BA21" s="64">
        <f t="shared" si="33"/>
        <v>5192</v>
      </c>
      <c r="BB21" s="64">
        <f t="shared" si="33"/>
        <v>5683</v>
      </c>
      <c r="BC21" s="64">
        <f t="shared" si="33"/>
        <v>6874</v>
      </c>
      <c r="BD21" s="64">
        <f t="shared" si="33"/>
        <v>6218</v>
      </c>
      <c r="BE21" s="64">
        <f t="shared" si="33"/>
        <v>5987</v>
      </c>
      <c r="BF21" s="64">
        <f t="shared" si="33"/>
        <v>6197</v>
      </c>
      <c r="BG21" s="64">
        <f t="shared" si="33"/>
        <v>7602</v>
      </c>
      <c r="BH21" s="64">
        <f t="shared" si="33"/>
        <v>6620</v>
      </c>
      <c r="BI21" s="64">
        <f>+BI9-BI25</f>
        <v>7308</v>
      </c>
      <c r="BJ21" s="64">
        <f>+BJ9-BJ25</f>
        <v>7375</v>
      </c>
      <c r="BK21" s="64">
        <f t="shared" si="33"/>
        <v>8925.3831154352156</v>
      </c>
      <c r="BL21" s="64">
        <f t="shared" ref="BL21:BO21" si="34">+BL9-BL25</f>
        <v>7539.5136157016896</v>
      </c>
      <c r="BM21" s="64">
        <f t="shared" si="34"/>
        <v>8311.8932953844487</v>
      </c>
      <c r="BN21" s="64">
        <f t="shared" si="34"/>
        <v>8337.9676332242016</v>
      </c>
      <c r="BO21" s="64">
        <f t="shared" si="34"/>
        <v>10137.206426034099</v>
      </c>
      <c r="BQ21" s="64">
        <f t="shared" si="33"/>
        <v>41</v>
      </c>
      <c r="BR21" s="64">
        <f t="shared" si="33"/>
        <v>124</v>
      </c>
      <c r="BS21" s="64">
        <f t="shared" si="33"/>
        <v>223</v>
      </c>
      <c r="BT21" s="64">
        <f t="shared" si="33"/>
        <v>493</v>
      </c>
      <c r="BU21" s="64">
        <f t="shared" ref="BU21:CH21" si="35">+BU9-BU25</f>
        <v>860</v>
      </c>
      <c r="BV21" s="64">
        <f t="shared" si="35"/>
        <v>1364</v>
      </c>
      <c r="BW21" s="64">
        <f t="shared" si="35"/>
        <v>1876</v>
      </c>
      <c r="BX21" s="64">
        <f t="shared" si="35"/>
        <v>2153</v>
      </c>
      <c r="BY21" s="64">
        <f t="shared" si="35"/>
        <v>2866</v>
      </c>
      <c r="BZ21" s="64">
        <f t="shared" si="35"/>
        <v>3789</v>
      </c>
      <c r="CA21" s="64">
        <f t="shared" si="35"/>
        <v>5455</v>
      </c>
      <c r="CB21" s="64">
        <f t="shared" si="35"/>
        <v>9355</v>
      </c>
      <c r="CC21" s="64">
        <f t="shared" si="35"/>
        <v>12770</v>
      </c>
      <c r="CD21" s="64">
        <f t="shared" si="35"/>
        <v>16692</v>
      </c>
      <c r="CE21" s="64">
        <f t="shared" si="35"/>
        <v>22649</v>
      </c>
      <c r="CF21" s="64">
        <f t="shared" si="35"/>
        <v>23754</v>
      </c>
      <c r="CG21" s="64">
        <f t="shared" si="35"/>
        <v>26004</v>
      </c>
      <c r="CH21" s="64">
        <f t="shared" si="35"/>
        <v>30228.383115435223</v>
      </c>
      <c r="CI21" s="64">
        <f t="shared" ref="CI21" si="36">+CI9-CI25</f>
        <v>34326.580970344425</v>
      </c>
    </row>
    <row r="22" spans="2:89" x14ac:dyDescent="0.2">
      <c r="B22" s="60" t="s">
        <v>17</v>
      </c>
      <c r="H22" s="106">
        <f t="shared" ref="H22:AM22" si="37">+H21/D21-1</f>
        <v>0.66999999999999993</v>
      </c>
      <c r="I22" s="106">
        <f t="shared" si="37"/>
        <v>0.89189189189189189</v>
      </c>
      <c r="J22" s="106">
        <f t="shared" si="37"/>
        <v>0.8015267175572518</v>
      </c>
      <c r="K22" s="106">
        <f t="shared" si="37"/>
        <v>0.64666666666666672</v>
      </c>
      <c r="L22" s="106">
        <f t="shared" si="37"/>
        <v>0.65868263473053901</v>
      </c>
      <c r="M22" s="106">
        <f t="shared" si="37"/>
        <v>0.74761904761904763</v>
      </c>
      <c r="N22" s="106">
        <f t="shared" si="37"/>
        <v>0.36440677966101687</v>
      </c>
      <c r="O22" s="106">
        <f t="shared" si="37"/>
        <v>0.61133603238866407</v>
      </c>
      <c r="P22" s="106">
        <f t="shared" si="37"/>
        <v>0.49097472924187735</v>
      </c>
      <c r="Q22" s="106">
        <f t="shared" si="37"/>
        <v>0.26702997275204354</v>
      </c>
      <c r="R22" s="106">
        <f t="shared" si="37"/>
        <v>0.57453416149068315</v>
      </c>
      <c r="S22" s="106">
        <f t="shared" si="37"/>
        <v>0.23366834170854278</v>
      </c>
      <c r="T22" s="106">
        <f t="shared" si="37"/>
        <v>0.11864406779661008</v>
      </c>
      <c r="U22" s="106">
        <f t="shared" si="37"/>
        <v>1.7204301075268713E-2</v>
      </c>
      <c r="V22" s="106">
        <f t="shared" si="37"/>
        <v>0.1143984220907297</v>
      </c>
      <c r="W22" s="106">
        <f t="shared" si="37"/>
        <v>0.3299389002036659</v>
      </c>
      <c r="X22" s="106">
        <f t="shared" si="37"/>
        <v>0.4155844155844155</v>
      </c>
      <c r="Y22" s="106">
        <f t="shared" si="37"/>
        <v>0.41226215644820297</v>
      </c>
      <c r="Z22" s="106">
        <f t="shared" si="37"/>
        <v>0.27433628318584069</v>
      </c>
      <c r="AA22" s="106">
        <f t="shared" si="37"/>
        <v>0.26186830015313944</v>
      </c>
      <c r="AB22" s="106">
        <f t="shared" si="37"/>
        <v>0.28134556574923542</v>
      </c>
      <c r="AC22" s="106">
        <f t="shared" si="37"/>
        <v>0.3727544910179641</v>
      </c>
      <c r="AD22" s="106">
        <f t="shared" si="37"/>
        <v>0.37083333333333335</v>
      </c>
      <c r="AE22" s="106">
        <f t="shared" si="37"/>
        <v>0.27063106796116498</v>
      </c>
      <c r="AF22" s="106">
        <f t="shared" si="37"/>
        <v>0.38305489260143188</v>
      </c>
      <c r="AG22" s="106">
        <f t="shared" si="37"/>
        <v>0.34896401308615044</v>
      </c>
      <c r="AH22" s="106">
        <f t="shared" si="37"/>
        <v>0.4670719351570416</v>
      </c>
      <c r="AI22" s="106">
        <f t="shared" si="37"/>
        <v>0.5386819484240688</v>
      </c>
      <c r="AJ22" s="106">
        <f t="shared" si="37"/>
        <v>0.66264020707506477</v>
      </c>
      <c r="AK22" s="106">
        <f t="shared" si="37"/>
        <v>0.78981406628940976</v>
      </c>
      <c r="AL22" s="106">
        <f t="shared" si="37"/>
        <v>0.66988950276243098</v>
      </c>
      <c r="AM22" s="106">
        <f t="shared" si="37"/>
        <v>0.73556797020484166</v>
      </c>
      <c r="AN22" s="106">
        <f t="shared" ref="AN22:BK22" si="38">+AN21/AJ21-1</f>
        <v>0.46133886870783591</v>
      </c>
      <c r="AO22" s="106">
        <f t="shared" si="38"/>
        <v>0.49367660343270092</v>
      </c>
      <c r="AP22" s="106">
        <f t="shared" si="38"/>
        <v>0.30479735318444989</v>
      </c>
      <c r="AQ22" s="106">
        <f t="shared" si="38"/>
        <v>0.24892703862660936</v>
      </c>
      <c r="AR22" s="106">
        <f t="shared" si="38"/>
        <v>0.22833806818181812</v>
      </c>
      <c r="AS22" s="106">
        <f t="shared" si="38"/>
        <v>0.15784699123072277</v>
      </c>
      <c r="AT22" s="106">
        <f t="shared" si="38"/>
        <v>0.32931854199683053</v>
      </c>
      <c r="AU22" s="106">
        <f t="shared" si="38"/>
        <v>0.49198167239404356</v>
      </c>
      <c r="AV22" s="106">
        <f t="shared" si="38"/>
        <v>0.48337669846776521</v>
      </c>
      <c r="AW22" s="106">
        <f t="shared" si="38"/>
        <v>0.41002872812744839</v>
      </c>
      <c r="AX22" s="106">
        <f t="shared" si="38"/>
        <v>0.37601335240820211</v>
      </c>
      <c r="AY22" s="106">
        <f t="shared" si="38"/>
        <v>0.2184261036468329</v>
      </c>
      <c r="AZ22" s="106">
        <f t="shared" si="38"/>
        <v>0.17033716624439688</v>
      </c>
      <c r="BA22" s="106">
        <f t="shared" si="38"/>
        <v>-3.8340433413595165E-2</v>
      </c>
      <c r="BB22" s="106">
        <f t="shared" si="38"/>
        <v>-1.5248657078495875E-2</v>
      </c>
      <c r="BC22" s="106">
        <f t="shared" si="38"/>
        <v>8.286074354127293E-2</v>
      </c>
      <c r="BD22" s="106">
        <f t="shared" si="38"/>
        <v>3.5470441298917521E-2</v>
      </c>
      <c r="BE22" s="106">
        <f t="shared" si="38"/>
        <v>0.15312018489984602</v>
      </c>
      <c r="BF22" s="106">
        <f t="shared" si="38"/>
        <v>9.0445187401020588E-2</v>
      </c>
      <c r="BG22" s="106">
        <f t="shared" si="38"/>
        <v>0.10590631364562109</v>
      </c>
      <c r="BH22" s="106">
        <f t="shared" si="38"/>
        <v>6.4651013187520201E-2</v>
      </c>
      <c r="BI22" s="106">
        <f t="shared" si="38"/>
        <v>0.22064473024887254</v>
      </c>
      <c r="BJ22" s="106">
        <f t="shared" si="38"/>
        <v>0.19009197999031779</v>
      </c>
      <c r="BK22" s="106">
        <f t="shared" si="38"/>
        <v>0.17408354583467722</v>
      </c>
      <c r="BL22" s="106">
        <f t="shared" ref="BL22" si="39">+BL21/BH21-1</f>
        <v>0.13889933771928842</v>
      </c>
      <c r="BM22" s="106">
        <f t="shared" ref="BM22" si="40">+BM21/BI21-1</f>
        <v>0.13736908803837555</v>
      </c>
      <c r="BN22" s="106">
        <f t="shared" ref="BN22" si="41">+BN21/BJ21-1</f>
        <v>0.1305718824710782</v>
      </c>
      <c r="BO22" s="106">
        <f t="shared" ref="BO22" si="42">+BO21/BK21-1</f>
        <v>0.13577269400382419</v>
      </c>
      <c r="BP22" s="106"/>
      <c r="BQ22" s="106"/>
      <c r="BR22" s="106">
        <f t="shared" ref="BR22:CI22" si="43">+BR21/BQ21-1</f>
        <v>2.024390243902439</v>
      </c>
      <c r="BS22" s="106">
        <f t="shared" si="43"/>
        <v>0.79838709677419351</v>
      </c>
      <c r="BT22" s="106">
        <f t="shared" si="43"/>
        <v>1.210762331838565</v>
      </c>
      <c r="BU22" s="106">
        <f t="shared" si="43"/>
        <v>0.74442190669371189</v>
      </c>
      <c r="BV22" s="106">
        <f t="shared" si="43"/>
        <v>0.586046511627907</v>
      </c>
      <c r="BW22" s="106">
        <f t="shared" si="43"/>
        <v>0.37536656891495612</v>
      </c>
      <c r="BX22" s="106">
        <f t="shared" si="43"/>
        <v>0.14765458422174849</v>
      </c>
      <c r="BY22" s="106">
        <f t="shared" si="43"/>
        <v>0.33116581514166277</v>
      </c>
      <c r="BZ22" s="106">
        <f t="shared" si="43"/>
        <v>0.32205163991625962</v>
      </c>
      <c r="CA22" s="106">
        <f t="shared" si="43"/>
        <v>0.43969385062021638</v>
      </c>
      <c r="CB22" s="106">
        <f t="shared" si="43"/>
        <v>0.71494042163153071</v>
      </c>
      <c r="CC22" s="106">
        <f t="shared" si="43"/>
        <v>0.36504543025120251</v>
      </c>
      <c r="CD22" s="106">
        <f t="shared" si="43"/>
        <v>0.30712607674236492</v>
      </c>
      <c r="CE22" s="106">
        <f t="shared" si="43"/>
        <v>0.35687754612988254</v>
      </c>
      <c r="CF22" s="106">
        <f t="shared" si="43"/>
        <v>4.8788025961411075E-2</v>
      </c>
      <c r="CG22" s="106">
        <f t="shared" si="43"/>
        <v>9.4720889113412587E-2</v>
      </c>
      <c r="CH22" s="106">
        <f t="shared" si="43"/>
        <v>0.16245128116579077</v>
      </c>
      <c r="CI22" s="106">
        <f t="shared" si="43"/>
        <v>0.13557449762559681</v>
      </c>
    </row>
    <row r="23" spans="2:89" x14ac:dyDescent="0.2">
      <c r="B23" s="60" t="s">
        <v>20</v>
      </c>
      <c r="D23" s="107">
        <f>+D21/D9</f>
        <v>0.28985507246376813</v>
      </c>
      <c r="E23" s="107">
        <f t="shared" ref="E23:BT23" si="44">+E21/E9</f>
        <v>0.25754060324825984</v>
      </c>
      <c r="F23" s="107">
        <f t="shared" si="44"/>
        <v>0.28051391862955033</v>
      </c>
      <c r="G23" s="107">
        <f t="shared" si="44"/>
        <v>0.20519835841313269</v>
      </c>
      <c r="H23" s="107">
        <f t="shared" si="44"/>
        <v>0.22845417236662108</v>
      </c>
      <c r="I23" s="107">
        <f t="shared" si="44"/>
        <v>0.23463687150837989</v>
      </c>
      <c r="J23" s="107">
        <f t="shared" si="44"/>
        <v>0.24737945492662475</v>
      </c>
      <c r="K23" s="107">
        <f t="shared" si="44"/>
        <v>0.21839080459770116</v>
      </c>
      <c r="L23" s="107">
        <f t="shared" si="44"/>
        <v>0.26181474480151229</v>
      </c>
      <c r="M23" s="107">
        <f t="shared" si="44"/>
        <v>0.30996621621621623</v>
      </c>
      <c r="N23" s="107">
        <f t="shared" si="44"/>
        <v>0.25515055467511888</v>
      </c>
      <c r="O23" s="107">
        <f t="shared" si="44"/>
        <v>0.25110410094637226</v>
      </c>
      <c r="P23" s="107">
        <f t="shared" si="44"/>
        <v>0.2832647462277092</v>
      </c>
      <c r="Q23" s="107">
        <f t="shared" si="44"/>
        <v>0.25648097076668508</v>
      </c>
      <c r="R23" s="107">
        <f t="shared" si="44"/>
        <v>0.25148809523809523</v>
      </c>
      <c r="S23" s="107">
        <f t="shared" si="44"/>
        <v>0.18994197292069631</v>
      </c>
      <c r="T23" s="107">
        <f t="shared" si="44"/>
        <v>0.18465227817745802</v>
      </c>
      <c r="U23" s="107">
        <f t="shared" si="44"/>
        <v>0.16254295532646049</v>
      </c>
      <c r="V23" s="107">
        <f t="shared" si="44"/>
        <v>0.17639712769278801</v>
      </c>
      <c r="W23" s="107">
        <f t="shared" si="44"/>
        <v>0.16956634640353155</v>
      </c>
      <c r="X23" s="107">
        <f t="shared" si="44"/>
        <v>0.18458933107535985</v>
      </c>
      <c r="Y23" s="107">
        <f t="shared" si="44"/>
        <v>0.165264720435428</v>
      </c>
      <c r="Z23" s="107">
        <f t="shared" si="44"/>
        <v>0.15996445234392356</v>
      </c>
      <c r="AA23" s="107">
        <f t="shared" si="44"/>
        <v>0.14107173429207329</v>
      </c>
      <c r="AB23" s="107">
        <f t="shared" si="44"/>
        <v>0.15570419918246006</v>
      </c>
      <c r="AC23" s="107">
        <f t="shared" si="44"/>
        <v>0.14247980111870728</v>
      </c>
      <c r="AD23" s="107">
        <f t="shared" si="44"/>
        <v>0.14077877620881471</v>
      </c>
      <c r="AE23" s="107">
        <f t="shared" si="44"/>
        <v>0.11885571574526053</v>
      </c>
      <c r="AF23" s="107">
        <f t="shared" si="44"/>
        <v>0.14429780876494025</v>
      </c>
      <c r="AG23" s="107">
        <f t="shared" si="44"/>
        <v>0.13271108250187749</v>
      </c>
      <c r="AH23" s="107">
        <f t="shared" si="44"/>
        <v>0.14020139426800929</v>
      </c>
      <c r="AI23" s="107">
        <f t="shared" si="44"/>
        <v>0.12419056429232192</v>
      </c>
      <c r="AJ23" s="107">
        <f t="shared" si="44"/>
        <v>0.1610396122346649</v>
      </c>
      <c r="AK23" s="107">
        <f t="shared" si="44"/>
        <v>0.16733429068097649</v>
      </c>
      <c r="AL23" s="107">
        <f t="shared" si="44"/>
        <v>0.17614919501711954</v>
      </c>
      <c r="AM23" s="107">
        <f t="shared" si="44"/>
        <v>0.16530684639943241</v>
      </c>
      <c r="AN23" s="107">
        <f t="shared" si="44"/>
        <v>0.18677455727266698</v>
      </c>
      <c r="AO23" s="107">
        <f t="shared" si="44"/>
        <v>0.19584270993722611</v>
      </c>
      <c r="AP23" s="107">
        <f t="shared" si="44"/>
        <v>0.17873328801268978</v>
      </c>
      <c r="AQ23" s="107">
        <f t="shared" si="44"/>
        <v>0.16563893368750593</v>
      </c>
      <c r="AR23" s="107">
        <f t="shared" si="44"/>
        <v>0.19501606810621863</v>
      </c>
      <c r="AS23" s="107">
        <f t="shared" si="44"/>
        <v>0.20490180339273292</v>
      </c>
      <c r="AT23" s="107">
        <f t="shared" si="44"/>
        <v>0.19534233814625057</v>
      </c>
      <c r="AU23" s="107">
        <f t="shared" si="44"/>
        <v>0.18559418637788544</v>
      </c>
      <c r="AV23" s="107">
        <f t="shared" si="44"/>
        <v>0.19605670398532726</v>
      </c>
      <c r="AW23" s="107">
        <f t="shared" si="44"/>
        <v>0.18567940296454241</v>
      </c>
      <c r="AX23" s="107">
        <f t="shared" si="44"/>
        <v>0.19893140296449499</v>
      </c>
      <c r="AY23" s="107">
        <f t="shared" si="44"/>
        <v>0.18853018918357042</v>
      </c>
      <c r="AZ23" s="107">
        <f t="shared" si="44"/>
        <v>0.21517127705317471</v>
      </c>
      <c r="BA23" s="107">
        <f t="shared" si="44"/>
        <v>0.18014017070293525</v>
      </c>
      <c r="BB23" s="107">
        <f t="shared" si="44"/>
        <v>0.20505881503933029</v>
      </c>
      <c r="BC23" s="107">
        <f t="shared" si="44"/>
        <v>0.21371055495103372</v>
      </c>
      <c r="BD23" s="107">
        <f t="shared" si="44"/>
        <v>0.21707104206667829</v>
      </c>
      <c r="BE23" s="107">
        <f t="shared" si="44"/>
        <v>0.18709959686240196</v>
      </c>
      <c r="BF23" s="107">
        <f t="shared" si="44"/>
        <v>0.18148538628243424</v>
      </c>
      <c r="BG23" s="107">
        <f t="shared" si="44"/>
        <v>0.18952407070379695</v>
      </c>
      <c r="BH23" s="107">
        <f t="shared" si="44"/>
        <v>0.18159374571389383</v>
      </c>
      <c r="BI23" s="107">
        <f>+BI21/BI9</f>
        <v>0.18704409920401321</v>
      </c>
      <c r="BJ23" s="107">
        <f>+BJ21/BJ9</f>
        <v>0.18169947522727833</v>
      </c>
      <c r="BK23" s="107">
        <f t="shared" si="44"/>
        <v>0.19052407070379698</v>
      </c>
      <c r="BL23" s="107">
        <f t="shared" ref="BL23:BO23" si="45">+BL21/BL9</f>
        <v>0.18259374571389392</v>
      </c>
      <c r="BM23" s="107">
        <f t="shared" si="45"/>
        <v>0.18804409920401316</v>
      </c>
      <c r="BN23" s="107">
        <f t="shared" si="45"/>
        <v>0.18269947522727836</v>
      </c>
      <c r="BO23" s="107">
        <f t="shared" si="45"/>
        <v>0.19152407070379701</v>
      </c>
      <c r="BQ23" s="107">
        <f t="shared" si="44"/>
        <v>0.26797385620915032</v>
      </c>
      <c r="BR23" s="107">
        <f t="shared" si="44"/>
        <v>0.45588235294117646</v>
      </c>
      <c r="BS23" s="107">
        <f t="shared" si="44"/>
        <v>0.28700128700128702</v>
      </c>
      <c r="BT23" s="107">
        <f t="shared" si="44"/>
        <v>0.24974670719351572</v>
      </c>
      <c r="BU23" s="107">
        <f t="shared" ref="BU23:CH23" si="46">+BU21/BU9</f>
        <v>0.23174346537321477</v>
      </c>
      <c r="BV23" s="107">
        <f t="shared" si="46"/>
        <v>0.26802908233444683</v>
      </c>
      <c r="BW23" s="107">
        <f t="shared" si="46"/>
        <v>0.2383130081300813</v>
      </c>
      <c r="BX23" s="107">
        <f t="shared" si="46"/>
        <v>0.17270977057596662</v>
      </c>
      <c r="BY23" s="107">
        <f t="shared" si="46"/>
        <v>0.15987058626652537</v>
      </c>
      <c r="BZ23" s="107">
        <f t="shared" si="46"/>
        <v>0.13709385628482523</v>
      </c>
      <c r="CA23" s="107">
        <f t="shared" si="46"/>
        <v>0.1341844390327897</v>
      </c>
      <c r="CB23" s="107">
        <f t="shared" si="46"/>
        <v>0.16753823561015796</v>
      </c>
      <c r="CC23" s="107">
        <f t="shared" si="46"/>
        <v>0.18063001258893588</v>
      </c>
      <c r="CD23" s="107">
        <f t="shared" si="46"/>
        <v>0.19416978805574298</v>
      </c>
      <c r="CE23" s="107">
        <f t="shared" si="46"/>
        <v>0.19205623722748433</v>
      </c>
      <c r="CF23" s="107">
        <f t="shared" si="46"/>
        <v>0.20370640345084856</v>
      </c>
      <c r="CG23" s="107">
        <f t="shared" si="46"/>
        <v>0.19276358218248937</v>
      </c>
      <c r="CH23" s="107">
        <f t="shared" si="46"/>
        <v>0.18549403267204115</v>
      </c>
      <c r="CI23" s="107">
        <f t="shared" ref="CI23" si="47">+CI21/CI9</f>
        <v>0.18649690879867434</v>
      </c>
    </row>
    <row r="24" spans="2:89" x14ac:dyDescent="0.2">
      <c r="B24" s="101"/>
      <c r="H24" s="49"/>
      <c r="I24" s="49"/>
      <c r="J24" s="49"/>
      <c r="K24" s="49"/>
      <c r="L24" s="49"/>
      <c r="AB24" s="49"/>
      <c r="AC24" s="49"/>
      <c r="AD24" s="49"/>
      <c r="AT24" s="64"/>
      <c r="BU24" s="49"/>
    </row>
    <row r="25" spans="2:89" x14ac:dyDescent="0.2">
      <c r="B25" t="s">
        <v>516</v>
      </c>
      <c r="D25" s="64">
        <f>+D416</f>
        <v>245</v>
      </c>
      <c r="E25" s="64">
        <f t="shared" ref="E25:CA25" si="48">+E416</f>
        <v>320</v>
      </c>
      <c r="F25" s="64">
        <f t="shared" si="48"/>
        <v>336</v>
      </c>
      <c r="G25" s="64">
        <f t="shared" si="48"/>
        <v>581</v>
      </c>
      <c r="H25" s="64">
        <f t="shared" si="48"/>
        <v>564</v>
      </c>
      <c r="I25" s="64">
        <f t="shared" si="48"/>
        <v>685</v>
      </c>
      <c r="J25" s="64">
        <f t="shared" si="48"/>
        <v>718</v>
      </c>
      <c r="K25" s="64">
        <f t="shared" si="48"/>
        <v>884</v>
      </c>
      <c r="L25" s="64">
        <f t="shared" si="48"/>
        <v>781</v>
      </c>
      <c r="M25" s="64">
        <f t="shared" si="48"/>
        <v>817</v>
      </c>
      <c r="N25" s="64">
        <f t="shared" si="48"/>
        <v>940</v>
      </c>
      <c r="O25" s="64">
        <f t="shared" si="48"/>
        <v>1187</v>
      </c>
      <c r="P25" s="64">
        <f t="shared" si="48"/>
        <v>1045</v>
      </c>
      <c r="Q25" s="64">
        <f t="shared" si="48"/>
        <v>1348</v>
      </c>
      <c r="R25" s="64">
        <f t="shared" si="48"/>
        <v>1509</v>
      </c>
      <c r="S25" s="64">
        <f t="shared" si="48"/>
        <v>2094</v>
      </c>
      <c r="T25" s="64">
        <f t="shared" si="48"/>
        <v>2040</v>
      </c>
      <c r="U25" s="64">
        <f t="shared" si="48"/>
        <v>2437</v>
      </c>
      <c r="V25" s="64">
        <f t="shared" si="48"/>
        <v>2638</v>
      </c>
      <c r="W25" s="64">
        <f t="shared" si="48"/>
        <v>3198</v>
      </c>
      <c r="X25" s="64">
        <f t="shared" si="48"/>
        <v>2889</v>
      </c>
      <c r="Y25" s="64">
        <f t="shared" si="48"/>
        <v>3374</v>
      </c>
      <c r="Z25" s="64">
        <f t="shared" si="48"/>
        <v>3781</v>
      </c>
      <c r="AA25" s="64">
        <f t="shared" si="48"/>
        <v>5017</v>
      </c>
      <c r="AB25" s="64">
        <f t="shared" si="48"/>
        <v>4544</v>
      </c>
      <c r="AC25" s="64">
        <f t="shared" si="48"/>
        <v>5519</v>
      </c>
      <c r="AD25" s="64">
        <f t="shared" si="48"/>
        <v>6024</v>
      </c>
      <c r="AE25" s="64">
        <f t="shared" si="48"/>
        <v>7762</v>
      </c>
      <c r="AF25" s="64">
        <f t="shared" si="48"/>
        <v>6873</v>
      </c>
      <c r="AG25" s="64">
        <f t="shared" si="48"/>
        <v>8084</v>
      </c>
      <c r="AH25" s="64">
        <f t="shared" si="48"/>
        <v>8880</v>
      </c>
      <c r="AI25" s="64">
        <f t="shared" si="48"/>
        <v>11361</v>
      </c>
      <c r="AJ25" s="64">
        <f t="shared" si="48"/>
        <v>10039</v>
      </c>
      <c r="AK25" s="64">
        <f t="shared" si="48"/>
        <v>11017</v>
      </c>
      <c r="AL25" s="64">
        <f t="shared" si="48"/>
        <v>11309</v>
      </c>
      <c r="AM25" s="64">
        <f t="shared" si="48"/>
        <v>14118</v>
      </c>
      <c r="AN25" s="64">
        <f t="shared" si="48"/>
        <v>12261</v>
      </c>
      <c r="AO25" s="64">
        <f t="shared" si="48"/>
        <v>13579</v>
      </c>
      <c r="AP25" s="64">
        <f t="shared" si="48"/>
        <v>14497</v>
      </c>
      <c r="AQ25" s="64">
        <f t="shared" si="48"/>
        <v>17590</v>
      </c>
      <c r="AR25" s="64">
        <f t="shared" si="48"/>
        <v>14278</v>
      </c>
      <c r="AS25" s="64">
        <f t="shared" si="48"/>
        <v>14858</v>
      </c>
      <c r="AT25" s="64">
        <f t="shared" si="48"/>
        <v>17276</v>
      </c>
      <c r="AU25" s="64">
        <f t="shared" ref="AU25:AZ25" si="49">+AU416</f>
        <v>22862</v>
      </c>
      <c r="AV25" s="64">
        <f t="shared" si="49"/>
        <v>21040</v>
      </c>
      <c r="AW25" s="64">
        <f t="shared" si="49"/>
        <v>23678</v>
      </c>
      <c r="AX25" s="64">
        <f t="shared" si="49"/>
        <v>23239</v>
      </c>
      <c r="AY25" s="64">
        <f t="shared" si="49"/>
        <v>27323</v>
      </c>
      <c r="AZ25" s="64">
        <f t="shared" si="49"/>
        <v>21903</v>
      </c>
      <c r="BA25" s="64">
        <f>+BA416</f>
        <v>23630</v>
      </c>
      <c r="BB25" s="79">
        <f>+BB416+1495-1462</f>
        <v>22031</v>
      </c>
      <c r="BC25" s="79">
        <f>+BC416+1462</f>
        <v>25291</v>
      </c>
      <c r="BD25" s="79">
        <f>+BD416-110</f>
        <v>22427</v>
      </c>
      <c r="BE25" s="79">
        <f>+BE416-42</f>
        <v>26012</v>
      </c>
      <c r="BF25" s="79">
        <f>+BF416+13</f>
        <v>27949</v>
      </c>
      <c r="BG25" s="79">
        <f>+BG416+93</f>
        <v>32509</v>
      </c>
      <c r="BH25" s="79">
        <f>+BH416+20</f>
        <v>29835</v>
      </c>
      <c r="BI25" s="64">
        <f>+BI416</f>
        <v>31763</v>
      </c>
      <c r="BJ25" s="64">
        <f>+BJ416</f>
        <v>33214</v>
      </c>
      <c r="BK25" s="64">
        <f>+BK27*BK9</f>
        <v>37921.102383561316</v>
      </c>
      <c r="BL25" s="64">
        <f t="shared" ref="BL25:BO25" si="50">+BL27*BL9</f>
        <v>33751.679498411599</v>
      </c>
      <c r="BM25" s="64">
        <f t="shared" si="50"/>
        <v>35889.936650721407</v>
      </c>
      <c r="BN25" s="64">
        <f t="shared" si="50"/>
        <v>37299.643656308843</v>
      </c>
      <c r="BO25" s="64">
        <f t="shared" si="50"/>
        <v>42791.944404891336</v>
      </c>
      <c r="BQ25" s="64">
        <f t="shared" si="48"/>
        <v>112</v>
      </c>
      <c r="BR25" s="64">
        <f t="shared" si="48"/>
        <v>148</v>
      </c>
      <c r="BS25" s="64">
        <f t="shared" si="48"/>
        <v>554</v>
      </c>
      <c r="BT25" s="64">
        <f t="shared" si="48"/>
        <v>1481</v>
      </c>
      <c r="BU25" s="64">
        <f t="shared" si="48"/>
        <v>2851</v>
      </c>
      <c r="BV25" s="64">
        <f t="shared" si="48"/>
        <v>3725</v>
      </c>
      <c r="BW25" s="64">
        <f t="shared" si="48"/>
        <v>5996</v>
      </c>
      <c r="BX25" s="64">
        <f t="shared" si="48"/>
        <v>10313</v>
      </c>
      <c r="BY25" s="64">
        <f t="shared" si="48"/>
        <v>15061</v>
      </c>
      <c r="BZ25" s="64">
        <f t="shared" si="48"/>
        <v>23849</v>
      </c>
      <c r="CA25" s="64">
        <f t="shared" si="48"/>
        <v>35198</v>
      </c>
      <c r="CB25" s="64">
        <f>SUM(AJ25:AM25)</f>
        <v>46483</v>
      </c>
      <c r="CC25" s="64">
        <f>+SUM(AN25:AQ25)</f>
        <v>57927</v>
      </c>
      <c r="CD25" s="64">
        <f>+SUM(AR25:AU25)</f>
        <v>69274</v>
      </c>
      <c r="CE25" s="64">
        <f>+SUM(AV25:AY25)</f>
        <v>95280</v>
      </c>
      <c r="CF25" s="64">
        <f>+SUM(AZ25:BC25)</f>
        <v>92855</v>
      </c>
      <c r="CG25" s="64">
        <f>+SUM(BD25:BG25)</f>
        <v>108897</v>
      </c>
      <c r="CH25" s="64">
        <f>+SUM(BH25:BK25)</f>
        <v>132733.10238356132</v>
      </c>
      <c r="CI25" s="64">
        <f>+SUM(BL25:BO25)</f>
        <v>149733.20421033321</v>
      </c>
    </row>
    <row r="26" spans="2:89" x14ac:dyDescent="0.2">
      <c r="B26" s="60" t="s">
        <v>17</v>
      </c>
      <c r="H26" s="106">
        <f t="shared" ref="H26:AM26" si="51">+H25/D25-1</f>
        <v>1.3020408163265307</v>
      </c>
      <c r="I26" s="106">
        <f t="shared" si="51"/>
        <v>1.140625</v>
      </c>
      <c r="J26" s="106">
        <f t="shared" si="51"/>
        <v>1.1369047619047619</v>
      </c>
      <c r="K26" s="106">
        <f t="shared" si="51"/>
        <v>0.52151462994836484</v>
      </c>
      <c r="L26" s="106">
        <f t="shared" si="51"/>
        <v>0.38475177304964547</v>
      </c>
      <c r="M26" s="106">
        <f t="shared" si="51"/>
        <v>0.19270072992700737</v>
      </c>
      <c r="N26" s="106">
        <f t="shared" si="51"/>
        <v>0.30919220055710306</v>
      </c>
      <c r="O26" s="106">
        <f t="shared" si="51"/>
        <v>0.34276018099547501</v>
      </c>
      <c r="P26" s="106">
        <f t="shared" si="51"/>
        <v>0.3380281690140845</v>
      </c>
      <c r="Q26" s="106">
        <f t="shared" si="51"/>
        <v>0.64993880048959607</v>
      </c>
      <c r="R26" s="106">
        <f t="shared" si="51"/>
        <v>0.60531914893617023</v>
      </c>
      <c r="S26" s="106">
        <f t="shared" si="51"/>
        <v>0.76411120471777583</v>
      </c>
      <c r="T26" s="106">
        <f t="shared" si="51"/>
        <v>0.95215311004784686</v>
      </c>
      <c r="U26" s="106">
        <f t="shared" si="51"/>
        <v>0.80786350148367947</v>
      </c>
      <c r="V26" s="106">
        <f t="shared" si="51"/>
        <v>0.74817760106030473</v>
      </c>
      <c r="W26" s="106">
        <f t="shared" si="51"/>
        <v>0.52722063037249289</v>
      </c>
      <c r="X26" s="106">
        <f t="shared" si="51"/>
        <v>0.41617647058823537</v>
      </c>
      <c r="Y26" s="106">
        <f t="shared" si="51"/>
        <v>0.38448912597455887</v>
      </c>
      <c r="Z26" s="106">
        <f t="shared" si="51"/>
        <v>0.43328278999241854</v>
      </c>
      <c r="AA26" s="106">
        <f t="shared" si="51"/>
        <v>0.56879299562226393</v>
      </c>
      <c r="AB26" s="106">
        <f t="shared" si="51"/>
        <v>0.5728625822083766</v>
      </c>
      <c r="AC26" s="106">
        <f t="shared" si="51"/>
        <v>0.63574392412566683</v>
      </c>
      <c r="AD26" s="106">
        <f t="shared" si="51"/>
        <v>0.59322930441682087</v>
      </c>
      <c r="AE26" s="106">
        <f t="shared" si="51"/>
        <v>0.54713972493522034</v>
      </c>
      <c r="AF26" s="106">
        <f t="shared" si="51"/>
        <v>0.512544014084507</v>
      </c>
      <c r="AG26" s="106">
        <f t="shared" si="51"/>
        <v>0.46475810835296238</v>
      </c>
      <c r="AH26" s="106">
        <f t="shared" si="51"/>
        <v>0.47410358565737054</v>
      </c>
      <c r="AI26" s="106">
        <f t="shared" si="51"/>
        <v>0.46366915743365111</v>
      </c>
      <c r="AJ26" s="106">
        <f t="shared" si="51"/>
        <v>0.46064309617343224</v>
      </c>
      <c r="AK26" s="106">
        <f t="shared" si="51"/>
        <v>0.36281543790202875</v>
      </c>
      <c r="AL26" s="106">
        <f t="shared" si="51"/>
        <v>0.27353603603603593</v>
      </c>
      <c r="AM26" s="106">
        <f t="shared" si="51"/>
        <v>0.24267229997359396</v>
      </c>
      <c r="AN26" s="106">
        <f t="shared" ref="AN26:BK26" si="52">+AN25/AJ25-1</f>
        <v>0.22133678653252309</v>
      </c>
      <c r="AO26" s="106">
        <f t="shared" si="52"/>
        <v>0.23254969592448038</v>
      </c>
      <c r="AP26" s="106">
        <f t="shared" si="52"/>
        <v>0.28189937218144845</v>
      </c>
      <c r="AQ26" s="106">
        <f t="shared" si="52"/>
        <v>0.2459271851537046</v>
      </c>
      <c r="AR26" s="106">
        <f t="shared" si="52"/>
        <v>0.16450534214175017</v>
      </c>
      <c r="AS26" s="106">
        <f t="shared" si="52"/>
        <v>9.418955740481616E-2</v>
      </c>
      <c r="AT26" s="106">
        <f t="shared" si="52"/>
        <v>0.19169483341380977</v>
      </c>
      <c r="AU26" s="106">
        <f t="shared" si="52"/>
        <v>0.29971574758385455</v>
      </c>
      <c r="AV26" s="106">
        <f t="shared" si="52"/>
        <v>0.47359574170051832</v>
      </c>
      <c r="AW26" s="106">
        <f t="shared" si="52"/>
        <v>0.59361959886929605</v>
      </c>
      <c r="AX26" s="106">
        <f t="shared" si="52"/>
        <v>0.34516091687890715</v>
      </c>
      <c r="AY26" s="106">
        <f t="shared" si="52"/>
        <v>0.19512728545184155</v>
      </c>
      <c r="AZ26" s="106">
        <f t="shared" si="52"/>
        <v>4.1017110266159618E-2</v>
      </c>
      <c r="BA26" s="106">
        <f t="shared" si="52"/>
        <v>-2.0271982430948299E-3</v>
      </c>
      <c r="BB26" s="106">
        <f t="shared" si="52"/>
        <v>-5.1981582684280769E-2</v>
      </c>
      <c r="BC26" s="106">
        <f t="shared" si="52"/>
        <v>-7.4369578743183395E-2</v>
      </c>
      <c r="BD26" s="106">
        <f t="shared" si="52"/>
        <v>2.392366342510166E-2</v>
      </c>
      <c r="BE26" s="106">
        <f t="shared" si="52"/>
        <v>0.10080406263224706</v>
      </c>
      <c r="BF26" s="106">
        <f t="shared" si="52"/>
        <v>0.26862148790340878</v>
      </c>
      <c r="BG26" s="106">
        <f t="shared" si="52"/>
        <v>0.28539796765647862</v>
      </c>
      <c r="BH26" s="106">
        <f t="shared" si="52"/>
        <v>0.33031613679939364</v>
      </c>
      <c r="BI26" s="106">
        <f t="shared" si="52"/>
        <v>0.22109026603106252</v>
      </c>
      <c r="BJ26" s="106">
        <f t="shared" si="52"/>
        <v>0.18837883287416357</v>
      </c>
      <c r="BK26" s="106">
        <f t="shared" si="52"/>
        <v>0.16648012499804099</v>
      </c>
      <c r="BL26" s="106">
        <f t="shared" ref="BL26" si="53">+BL25/BH25-1</f>
        <v>0.13127801234830239</v>
      </c>
      <c r="BM26" s="106">
        <f t="shared" ref="BM26" si="54">+BM25/BI25-1</f>
        <v>0.12992905741653527</v>
      </c>
      <c r="BN26" s="106">
        <f t="shared" ref="BN26" si="55">+BN25/BJ25-1</f>
        <v>0.1230096843592714</v>
      </c>
      <c r="BO26" s="106">
        <f t="shared" ref="BO26" si="56">+BO25/BK25-1</f>
        <v>0.12844674113275545</v>
      </c>
      <c r="BP26" s="106"/>
      <c r="BQ26" s="106"/>
      <c r="BR26" s="106">
        <f t="shared" ref="BR26:CI26" si="57">+BR25/BQ25-1</f>
        <v>0.3214285714285714</v>
      </c>
      <c r="BS26" s="106">
        <f t="shared" si="57"/>
        <v>2.7432432432432434</v>
      </c>
      <c r="BT26" s="106">
        <f t="shared" si="57"/>
        <v>1.6732851985559565</v>
      </c>
      <c r="BU26" s="106">
        <f t="shared" si="57"/>
        <v>0.92505064145847404</v>
      </c>
      <c r="BV26" s="106">
        <f t="shared" si="57"/>
        <v>0.30655910206944936</v>
      </c>
      <c r="BW26" s="106">
        <f t="shared" si="57"/>
        <v>0.60966442953020139</v>
      </c>
      <c r="BX26" s="106">
        <f t="shared" si="57"/>
        <v>0.71997998665777185</v>
      </c>
      <c r="BY26" s="106">
        <f t="shared" si="57"/>
        <v>0.46038979928245904</v>
      </c>
      <c r="BZ26" s="106">
        <f t="shared" si="57"/>
        <v>0.58349379191288753</v>
      </c>
      <c r="CA26" s="106">
        <f t="shared" si="57"/>
        <v>0.47586900918277486</v>
      </c>
      <c r="CB26" s="106">
        <f t="shared" si="57"/>
        <v>0.3206148076595261</v>
      </c>
      <c r="CC26" s="106">
        <f t="shared" si="57"/>
        <v>0.24619753458253557</v>
      </c>
      <c r="CD26" s="106">
        <f t="shared" si="57"/>
        <v>0.19588447528786235</v>
      </c>
      <c r="CE26" s="106">
        <f t="shared" si="57"/>
        <v>0.37540780090654513</v>
      </c>
      <c r="CF26" s="106">
        <f t="shared" si="57"/>
        <v>-2.5451301427371953E-2</v>
      </c>
      <c r="CG26" s="106">
        <f t="shared" si="57"/>
        <v>0.17276398686123517</v>
      </c>
      <c r="CH26" s="106">
        <f t="shared" si="57"/>
        <v>0.21888667624967928</v>
      </c>
      <c r="CI26" s="106">
        <f t="shared" si="57"/>
        <v>0.12807733354748518</v>
      </c>
    </row>
    <row r="27" spans="2:89" x14ac:dyDescent="0.2">
      <c r="B27" s="60" t="s">
        <v>21</v>
      </c>
      <c r="D27" s="107">
        <f t="shared" ref="D27:AI27" si="58">+D25/D9</f>
        <v>0.71014492753623193</v>
      </c>
      <c r="E27" s="107">
        <f t="shared" si="58"/>
        <v>0.74245939675174011</v>
      </c>
      <c r="F27" s="107">
        <f t="shared" si="58"/>
        <v>0.71948608137044967</v>
      </c>
      <c r="G27" s="107">
        <f t="shared" si="58"/>
        <v>0.79480164158686728</v>
      </c>
      <c r="H27" s="107">
        <f t="shared" si="58"/>
        <v>0.77154582763337898</v>
      </c>
      <c r="I27" s="107">
        <f t="shared" si="58"/>
        <v>0.76536312849162014</v>
      </c>
      <c r="J27" s="107">
        <f t="shared" si="58"/>
        <v>0.75262054507337528</v>
      </c>
      <c r="K27" s="107">
        <f t="shared" si="58"/>
        <v>0.7816091954022989</v>
      </c>
      <c r="L27" s="107">
        <f t="shared" si="58"/>
        <v>0.73818525519848777</v>
      </c>
      <c r="M27" s="107">
        <f t="shared" si="58"/>
        <v>0.69003378378378377</v>
      </c>
      <c r="N27" s="107">
        <f t="shared" si="58"/>
        <v>0.74484944532488118</v>
      </c>
      <c r="O27" s="107">
        <f t="shared" si="58"/>
        <v>0.74889589905362774</v>
      </c>
      <c r="P27" s="107">
        <f t="shared" si="58"/>
        <v>0.71673525377229086</v>
      </c>
      <c r="Q27" s="107">
        <f t="shared" si="58"/>
        <v>0.74351902923331492</v>
      </c>
      <c r="R27" s="107">
        <f t="shared" si="58"/>
        <v>0.74851190476190477</v>
      </c>
      <c r="S27" s="107">
        <f t="shared" si="58"/>
        <v>0.81005802707930363</v>
      </c>
      <c r="T27" s="107">
        <f t="shared" si="58"/>
        <v>0.815347721822542</v>
      </c>
      <c r="U27" s="107">
        <f t="shared" si="58"/>
        <v>0.83745704467353954</v>
      </c>
      <c r="V27" s="107">
        <f t="shared" si="58"/>
        <v>0.82360287230721196</v>
      </c>
      <c r="W27" s="107">
        <f t="shared" si="58"/>
        <v>0.83043365359646848</v>
      </c>
      <c r="X27" s="107">
        <f t="shared" si="58"/>
        <v>0.81541066892464009</v>
      </c>
      <c r="Y27" s="107">
        <f t="shared" si="58"/>
        <v>0.83473527956457194</v>
      </c>
      <c r="Z27" s="107">
        <f t="shared" si="58"/>
        <v>0.84003554765607646</v>
      </c>
      <c r="AA27" s="107">
        <f t="shared" si="58"/>
        <v>0.85892826570792669</v>
      </c>
      <c r="AB27" s="107">
        <f t="shared" si="58"/>
        <v>0.84429580081753997</v>
      </c>
      <c r="AC27" s="107">
        <f t="shared" si="58"/>
        <v>0.85752019888129272</v>
      </c>
      <c r="AD27" s="107">
        <f t="shared" si="58"/>
        <v>0.85922122379118526</v>
      </c>
      <c r="AE27" s="107">
        <f t="shared" si="58"/>
        <v>0.88114428425473945</v>
      </c>
      <c r="AF27" s="107">
        <f t="shared" si="58"/>
        <v>0.85570219123505975</v>
      </c>
      <c r="AG27" s="107">
        <f t="shared" si="58"/>
        <v>0.86728891749812254</v>
      </c>
      <c r="AH27" s="107">
        <f t="shared" si="58"/>
        <v>0.85979860573199074</v>
      </c>
      <c r="AI27" s="107">
        <f t="shared" si="58"/>
        <v>0.87580943570767811</v>
      </c>
      <c r="AJ27" s="107">
        <f t="shared" ref="AJ27:BE27" si="59">+AJ25/AJ9</f>
        <v>0.8389603877653351</v>
      </c>
      <c r="AK27" s="107">
        <f t="shared" si="59"/>
        <v>0.83266570931902351</v>
      </c>
      <c r="AL27" s="107">
        <f t="shared" si="59"/>
        <v>0.82385080498288044</v>
      </c>
      <c r="AM27" s="107">
        <f t="shared" si="59"/>
        <v>0.83469315360056762</v>
      </c>
      <c r="AN27" s="107">
        <f t="shared" si="59"/>
        <v>0.81322544272733299</v>
      </c>
      <c r="AO27" s="107">
        <f t="shared" si="59"/>
        <v>0.80415729006277392</v>
      </c>
      <c r="AP27" s="107">
        <f t="shared" si="59"/>
        <v>0.82126671198731027</v>
      </c>
      <c r="AQ27" s="107">
        <f t="shared" si="59"/>
        <v>0.83436106631249407</v>
      </c>
      <c r="AR27" s="107">
        <f t="shared" si="59"/>
        <v>0.80498393189378137</v>
      </c>
      <c r="AS27" s="107">
        <f t="shared" si="59"/>
        <v>0.7950981966072671</v>
      </c>
      <c r="AT27" s="107">
        <f t="shared" si="59"/>
        <v>0.80465766185374943</v>
      </c>
      <c r="AU27" s="107">
        <f t="shared" si="59"/>
        <v>0.81440581362211462</v>
      </c>
      <c r="AV27" s="107">
        <f t="shared" si="59"/>
        <v>0.80394329601467274</v>
      </c>
      <c r="AW27" s="107">
        <f t="shared" si="59"/>
        <v>0.81432059703545756</v>
      </c>
      <c r="AX27" s="107">
        <f t="shared" si="59"/>
        <v>0.80106859703550504</v>
      </c>
      <c r="AY27" s="107">
        <f t="shared" si="59"/>
        <v>0.81146981081642955</v>
      </c>
      <c r="AZ27" s="107">
        <f t="shared" si="59"/>
        <v>0.78482872294682526</v>
      </c>
      <c r="BA27" s="107">
        <f t="shared" si="59"/>
        <v>0.81985982929706469</v>
      </c>
      <c r="BB27" s="107">
        <f t="shared" si="59"/>
        <v>0.79494118496066968</v>
      </c>
      <c r="BC27" s="107">
        <f t="shared" si="59"/>
        <v>0.78628944504896625</v>
      </c>
      <c r="BD27" s="107">
        <f t="shared" si="59"/>
        <v>0.78292895793332173</v>
      </c>
      <c r="BE27" s="107">
        <f t="shared" si="59"/>
        <v>0.81290040313759804</v>
      </c>
      <c r="BF27" s="107">
        <f>+BF25/BF9</f>
        <v>0.81851461371756573</v>
      </c>
      <c r="BG27" s="107">
        <f>+BG25/BG9</f>
        <v>0.81047592929620305</v>
      </c>
      <c r="BH27" s="107">
        <f>+BH25/BH9</f>
        <v>0.81840625428610614</v>
      </c>
      <c r="BI27" s="107">
        <f>+BI25/BI9</f>
        <v>0.81295590079598679</v>
      </c>
      <c r="BJ27" s="107">
        <f>+BJ25/BJ9</f>
        <v>0.81830052477272164</v>
      </c>
      <c r="BK27" s="183">
        <f>+BG27-0.1%</f>
        <v>0.80947592929620305</v>
      </c>
      <c r="BL27" s="183">
        <f t="shared" ref="BL27:BO27" si="60">+BH27-0.1%</f>
        <v>0.81740625428610614</v>
      </c>
      <c r="BM27" s="183">
        <f t="shared" si="60"/>
        <v>0.81195590079598678</v>
      </c>
      <c r="BN27" s="183">
        <f t="shared" si="60"/>
        <v>0.81730052477272164</v>
      </c>
      <c r="BO27" s="183">
        <f t="shared" si="60"/>
        <v>0.80847592929620304</v>
      </c>
      <c r="BQ27" s="107">
        <f t="shared" ref="BQ27:CH27" si="61">+BQ25/BQ9</f>
        <v>0.73202614379084963</v>
      </c>
      <c r="BR27" s="107">
        <f t="shared" si="61"/>
        <v>0.54411764705882348</v>
      </c>
      <c r="BS27" s="107">
        <f t="shared" si="61"/>
        <v>0.71299871299871298</v>
      </c>
      <c r="BT27" s="107">
        <f t="shared" si="61"/>
        <v>0.75025329280648434</v>
      </c>
      <c r="BU27" s="107">
        <f t="shared" si="61"/>
        <v>0.76825653462678523</v>
      </c>
      <c r="BV27" s="107">
        <f t="shared" si="61"/>
        <v>0.73197091766555311</v>
      </c>
      <c r="BW27" s="107">
        <f t="shared" si="61"/>
        <v>0.76168699186991873</v>
      </c>
      <c r="BX27" s="107">
        <f t="shared" si="61"/>
        <v>0.82729022942403341</v>
      </c>
      <c r="BY27" s="107">
        <f t="shared" si="61"/>
        <v>0.84012941373347461</v>
      </c>
      <c r="BZ27" s="107">
        <f t="shared" si="61"/>
        <v>0.86290614371517471</v>
      </c>
      <c r="CA27" s="107">
        <f t="shared" si="61"/>
        <v>0.86581556096721024</v>
      </c>
      <c r="CB27" s="107">
        <f t="shared" si="61"/>
        <v>0.8324617643898421</v>
      </c>
      <c r="CC27" s="107">
        <f t="shared" si="61"/>
        <v>0.81936998741106415</v>
      </c>
      <c r="CD27" s="107">
        <f t="shared" si="61"/>
        <v>0.80583021194425708</v>
      </c>
      <c r="CE27" s="107">
        <f t="shared" si="61"/>
        <v>0.80794376277251567</v>
      </c>
      <c r="CF27" s="107">
        <f t="shared" si="61"/>
        <v>0.79629359654915144</v>
      </c>
      <c r="CG27" s="107">
        <f t="shared" si="61"/>
        <v>0.80723641781751065</v>
      </c>
      <c r="CH27" s="107">
        <f t="shared" si="61"/>
        <v>0.81450596732795888</v>
      </c>
      <c r="CI27" s="107">
        <f t="shared" ref="CI27" si="62">+CI25/CI9</f>
        <v>0.81350309120132569</v>
      </c>
    </row>
    <row r="28" spans="2:89" x14ac:dyDescent="0.2">
      <c r="H28" s="49"/>
      <c r="I28" s="49"/>
      <c r="J28" s="49"/>
      <c r="K28" s="49"/>
      <c r="L28" s="49"/>
      <c r="AB28" s="49"/>
      <c r="AC28" s="49"/>
      <c r="AD28" s="49"/>
      <c r="BA28" s="55"/>
      <c r="BH28" s="55"/>
      <c r="BI28" s="56"/>
      <c r="BJ28" s="56"/>
      <c r="BU28" s="49"/>
    </row>
    <row r="29" spans="2:89" x14ac:dyDescent="0.2">
      <c r="B29" t="s">
        <v>517</v>
      </c>
      <c r="D29" s="64">
        <f>+D420</f>
        <v>25</v>
      </c>
      <c r="E29" s="64">
        <f t="shared" ref="E29:AT31" si="63">+E420</f>
        <v>32</v>
      </c>
      <c r="F29" s="64">
        <f t="shared" si="63"/>
        <v>41</v>
      </c>
      <c r="G29" s="64">
        <f t="shared" si="63"/>
        <v>45</v>
      </c>
      <c r="H29" s="64">
        <f t="shared" si="63"/>
        <v>57</v>
      </c>
      <c r="I29" s="64">
        <f t="shared" si="63"/>
        <v>99</v>
      </c>
      <c r="J29" s="64">
        <f t="shared" si="63"/>
        <v>108</v>
      </c>
      <c r="K29" s="64">
        <f t="shared" si="63"/>
        <v>124</v>
      </c>
      <c r="L29" s="64">
        <f t="shared" si="63"/>
        <v>153</v>
      </c>
      <c r="M29" s="64">
        <f t="shared" si="63"/>
        <v>705</v>
      </c>
      <c r="N29" s="64">
        <f t="shared" si="63"/>
        <v>244</v>
      </c>
      <c r="O29" s="64">
        <f t="shared" si="63"/>
        <v>297</v>
      </c>
      <c r="P29" s="64">
        <f t="shared" si="63"/>
        <v>293</v>
      </c>
      <c r="Q29" s="64">
        <f t="shared" si="63"/>
        <v>344</v>
      </c>
      <c r="R29" s="64">
        <f t="shared" si="63"/>
        <v>369</v>
      </c>
      <c r="S29" s="64">
        <f t="shared" si="63"/>
        <v>408</v>
      </c>
      <c r="T29" s="64">
        <f t="shared" si="63"/>
        <v>455</v>
      </c>
      <c r="U29" s="64">
        <f t="shared" si="63"/>
        <v>492</v>
      </c>
      <c r="V29" s="64">
        <f t="shared" si="63"/>
        <v>608</v>
      </c>
      <c r="W29" s="64">
        <f t="shared" si="63"/>
        <v>1111</v>
      </c>
      <c r="X29" s="64">
        <f t="shared" si="63"/>
        <v>1062</v>
      </c>
      <c r="Y29" s="64">
        <f t="shared" si="63"/>
        <v>1170</v>
      </c>
      <c r="Z29" s="64">
        <f t="shared" si="63"/>
        <v>1271</v>
      </c>
      <c r="AA29" s="64">
        <f t="shared" si="63"/>
        <v>1314</v>
      </c>
      <c r="AB29" s="64">
        <f t="shared" si="63"/>
        <v>1343</v>
      </c>
      <c r="AC29" s="64">
        <f t="shared" si="63"/>
        <v>1471</v>
      </c>
      <c r="AD29" s="64">
        <f t="shared" si="63"/>
        <v>1542</v>
      </c>
      <c r="AE29" s="64">
        <f t="shared" si="63"/>
        <v>1563</v>
      </c>
      <c r="AF29" s="64">
        <f t="shared" si="63"/>
        <v>1834</v>
      </c>
      <c r="AG29" s="64">
        <f t="shared" si="63"/>
        <v>1919</v>
      </c>
      <c r="AH29" s="64">
        <f t="shared" si="63"/>
        <v>2052</v>
      </c>
      <c r="AI29" s="64">
        <f t="shared" si="63"/>
        <v>1949</v>
      </c>
      <c r="AJ29" s="64">
        <f t="shared" si="63"/>
        <v>2238</v>
      </c>
      <c r="AK29" s="64">
        <f t="shared" si="63"/>
        <v>2523</v>
      </c>
      <c r="AL29" s="64">
        <f t="shared" si="63"/>
        <v>2657</v>
      </c>
      <c r="AM29" s="64">
        <f t="shared" si="63"/>
        <v>2855</v>
      </c>
      <c r="AN29" s="64">
        <f t="shared" si="63"/>
        <v>2860</v>
      </c>
      <c r="AO29" s="64">
        <f t="shared" si="63"/>
        <v>3315</v>
      </c>
      <c r="AP29" s="64">
        <f t="shared" si="63"/>
        <v>3548</v>
      </c>
      <c r="AQ29" s="64">
        <f t="shared" si="63"/>
        <v>3877</v>
      </c>
      <c r="AR29" s="64">
        <f t="shared" si="63"/>
        <v>4015</v>
      </c>
      <c r="AS29" s="64">
        <f t="shared" si="63"/>
        <v>4462</v>
      </c>
      <c r="AT29" s="64">
        <f t="shared" si="63"/>
        <v>4763</v>
      </c>
      <c r="AU29" s="64">
        <f t="shared" ref="AU29:AW30" si="64">+AU420</f>
        <v>5208</v>
      </c>
      <c r="AV29" s="64">
        <f t="shared" si="64"/>
        <v>5197</v>
      </c>
      <c r="AW29" s="64">
        <f t="shared" si="64"/>
        <v>6096</v>
      </c>
      <c r="AX29" s="64">
        <f t="shared" ref="AX29:BA30" si="65">+AX420</f>
        <v>6316</v>
      </c>
      <c r="AY29" s="64">
        <f t="shared" si="65"/>
        <v>7046</v>
      </c>
      <c r="AZ29" s="64">
        <f t="shared" si="65"/>
        <v>7707</v>
      </c>
      <c r="BA29" s="64">
        <f t="shared" si="65"/>
        <v>8690</v>
      </c>
      <c r="BB29" s="79">
        <f>+BB420-1719+1488</f>
        <v>8939</v>
      </c>
      <c r="BC29" s="79">
        <f>+BC420-1488</f>
        <v>8283</v>
      </c>
      <c r="BD29" s="79">
        <f>+BD420-804</f>
        <v>8577</v>
      </c>
      <c r="BE29" s="79">
        <f>+BE420-295</f>
        <v>9049</v>
      </c>
      <c r="BF29" s="79">
        <f>+BF420-158</f>
        <v>9083</v>
      </c>
      <c r="BG29" s="79">
        <f>+BG420-738</f>
        <v>9779</v>
      </c>
      <c r="BH29" s="79">
        <f>+BH420-159</f>
        <v>9819</v>
      </c>
      <c r="BI29" s="64">
        <f>+BI420</f>
        <v>10537</v>
      </c>
      <c r="BJ29" s="64">
        <f>+BJ420</f>
        <v>11177</v>
      </c>
      <c r="BK29" s="80">
        <f>+BG29*(1+BK35)</f>
        <v>11930.38</v>
      </c>
      <c r="BL29" s="80">
        <f t="shared" ref="BL29:BO29" si="66">+BH29*(1+BL35)</f>
        <v>11979.18</v>
      </c>
      <c r="BM29" s="80">
        <f t="shared" si="66"/>
        <v>12644.4</v>
      </c>
      <c r="BN29" s="80">
        <f t="shared" si="66"/>
        <v>13300.63</v>
      </c>
      <c r="BO29" s="80">
        <f t="shared" si="66"/>
        <v>13958.544599999997</v>
      </c>
      <c r="BQ29" s="64">
        <f t="shared" ref="BQ29:CB31" si="67">+BQ420</f>
        <v>81</v>
      </c>
      <c r="BR29" s="64">
        <f t="shared" si="67"/>
        <v>47</v>
      </c>
      <c r="BS29" s="64">
        <f t="shared" si="67"/>
        <v>87</v>
      </c>
      <c r="BT29" s="64">
        <f t="shared" si="67"/>
        <v>144</v>
      </c>
      <c r="BU29" s="64">
        <f t="shared" si="67"/>
        <v>388</v>
      </c>
      <c r="BV29" s="64">
        <f t="shared" si="67"/>
        <v>1399</v>
      </c>
      <c r="BW29" s="64">
        <f t="shared" si="67"/>
        <v>1414</v>
      </c>
      <c r="BX29" s="64">
        <f t="shared" si="67"/>
        <v>2666</v>
      </c>
      <c r="BY29" s="64">
        <f t="shared" si="67"/>
        <v>4817</v>
      </c>
      <c r="BZ29" s="64">
        <f t="shared" si="67"/>
        <v>5919</v>
      </c>
      <c r="CA29" s="64">
        <f t="shared" si="67"/>
        <v>7754</v>
      </c>
      <c r="CB29" s="64">
        <f t="shared" si="67"/>
        <v>10273</v>
      </c>
      <c r="CC29" s="64">
        <f>+SUM(AN29:AQ29)</f>
        <v>13600</v>
      </c>
      <c r="CD29" s="64">
        <f>+SUM(AR29:AU29)</f>
        <v>18448</v>
      </c>
      <c r="CE29" s="64">
        <f>+SUM(AV29:AY29)</f>
        <v>24655</v>
      </c>
      <c r="CF29" s="64">
        <f>+SUM(AZ29:BC29)</f>
        <v>33619</v>
      </c>
      <c r="CG29" s="64">
        <f>+SUM(BD29:BG29)</f>
        <v>36488</v>
      </c>
      <c r="CH29" s="64"/>
      <c r="CI29" s="64"/>
    </row>
    <row r="30" spans="2:89" x14ac:dyDescent="0.2">
      <c r="B30" t="s">
        <v>518</v>
      </c>
      <c r="D30" s="64">
        <f>+D421</f>
        <v>36</v>
      </c>
      <c r="E30" s="64">
        <f t="shared" si="63"/>
        <v>44</v>
      </c>
      <c r="F30" s="64">
        <f t="shared" si="63"/>
        <v>45</v>
      </c>
      <c r="G30" s="64">
        <f t="shared" si="63"/>
        <v>59</v>
      </c>
      <c r="H30" s="64">
        <f t="shared" si="63"/>
        <v>62</v>
      </c>
      <c r="I30" s="64">
        <f t="shared" si="63"/>
        <v>96</v>
      </c>
      <c r="J30" s="64">
        <f t="shared" si="63"/>
        <v>114</v>
      </c>
      <c r="K30" s="64">
        <f t="shared" si="63"/>
        <v>120</v>
      </c>
      <c r="L30" s="64">
        <f t="shared" si="63"/>
        <v>143</v>
      </c>
      <c r="M30" s="64">
        <f t="shared" si="63"/>
        <v>392</v>
      </c>
      <c r="N30" s="64">
        <f t="shared" si="63"/>
        <v>168</v>
      </c>
      <c r="O30" s="64">
        <f t="shared" si="63"/>
        <v>193</v>
      </c>
      <c r="P30" s="64">
        <f t="shared" si="63"/>
        <v>203</v>
      </c>
      <c r="Q30" s="64">
        <f t="shared" si="63"/>
        <v>269</v>
      </c>
      <c r="R30" s="64">
        <f t="shared" si="63"/>
        <v>233</v>
      </c>
      <c r="S30" s="64">
        <f t="shared" si="63"/>
        <v>292</v>
      </c>
      <c r="T30" s="64">
        <f t="shared" si="63"/>
        <v>323</v>
      </c>
      <c r="U30" s="64">
        <f t="shared" si="63"/>
        <v>358</v>
      </c>
      <c r="V30" s="64">
        <f t="shared" si="63"/>
        <v>374</v>
      </c>
      <c r="W30" s="64">
        <f t="shared" si="63"/>
        <v>624</v>
      </c>
      <c r="X30" s="64">
        <f t="shared" si="63"/>
        <v>620</v>
      </c>
      <c r="Y30" s="64">
        <f t="shared" si="63"/>
        <v>626</v>
      </c>
      <c r="Z30" s="64">
        <f t="shared" si="63"/>
        <v>706</v>
      </c>
      <c r="AA30" s="64">
        <f t="shared" si="63"/>
        <v>772</v>
      </c>
      <c r="AB30" s="64">
        <f t="shared" si="63"/>
        <v>826</v>
      </c>
      <c r="AC30" s="64">
        <f t="shared" si="63"/>
        <v>901</v>
      </c>
      <c r="AD30" s="64">
        <f t="shared" si="63"/>
        <v>926</v>
      </c>
      <c r="AE30" s="64">
        <f t="shared" si="63"/>
        <v>1118</v>
      </c>
      <c r="AF30" s="64">
        <f t="shared" si="63"/>
        <v>1057</v>
      </c>
      <c r="AG30" s="64">
        <f t="shared" si="63"/>
        <v>1124</v>
      </c>
      <c r="AH30" s="64">
        <f t="shared" si="63"/>
        <v>1170</v>
      </c>
      <c r="AI30" s="64">
        <f t="shared" si="63"/>
        <v>1374</v>
      </c>
      <c r="AJ30" s="64">
        <f t="shared" si="63"/>
        <v>1595</v>
      </c>
      <c r="AK30" s="64">
        <f t="shared" si="63"/>
        <v>1855</v>
      </c>
      <c r="AL30" s="64">
        <f t="shared" si="63"/>
        <v>1928</v>
      </c>
      <c r="AM30" s="64">
        <f t="shared" si="63"/>
        <v>2467</v>
      </c>
      <c r="AN30" s="64">
        <f t="shared" si="63"/>
        <v>2020</v>
      </c>
      <c r="AO30" s="64">
        <f t="shared" si="63"/>
        <v>2414</v>
      </c>
      <c r="AP30" s="64">
        <f t="shared" si="63"/>
        <v>2416</v>
      </c>
      <c r="AQ30" s="64">
        <f t="shared" si="63"/>
        <v>3026</v>
      </c>
      <c r="AR30" s="64">
        <f t="shared" si="63"/>
        <v>2787</v>
      </c>
      <c r="AS30" s="64">
        <f t="shared" si="63"/>
        <v>2840</v>
      </c>
      <c r="AT30" s="64">
        <f t="shared" si="63"/>
        <v>2683</v>
      </c>
      <c r="AU30" s="64">
        <f t="shared" si="64"/>
        <v>3280</v>
      </c>
      <c r="AV30" s="64">
        <f t="shared" si="64"/>
        <v>2843</v>
      </c>
      <c r="AW30" s="64">
        <f t="shared" si="64"/>
        <v>3259</v>
      </c>
      <c r="AX30" s="64">
        <f t="shared" si="65"/>
        <v>3554</v>
      </c>
      <c r="AY30" s="64">
        <f t="shared" si="65"/>
        <v>4387</v>
      </c>
      <c r="AZ30" s="64">
        <f t="shared" si="65"/>
        <v>3312</v>
      </c>
      <c r="BA30" s="64">
        <f t="shared" si="65"/>
        <v>3595</v>
      </c>
      <c r="BB30" s="79">
        <f>+BB421-638+564</f>
        <v>3706</v>
      </c>
      <c r="BC30" s="79">
        <f>+BC421-564</f>
        <v>4010</v>
      </c>
      <c r="BD30" s="79">
        <f>+BD421-139</f>
        <v>2905</v>
      </c>
      <c r="BE30" s="79">
        <f>+BE421-261</f>
        <v>2893</v>
      </c>
      <c r="BF30" s="79">
        <f>+BF421-123</f>
        <v>2754</v>
      </c>
      <c r="BG30" s="79">
        <f>+BG421-178</f>
        <v>3048</v>
      </c>
      <c r="BH30" s="79">
        <f>+BH421-35</f>
        <v>2529</v>
      </c>
      <c r="BI30" s="64">
        <f>+BI421</f>
        <v>2721</v>
      </c>
      <c r="BJ30" s="64">
        <f>+BJ421</f>
        <v>2822</v>
      </c>
      <c r="BK30" s="80">
        <f>+BG30*(1+BK36)</f>
        <v>3291.84</v>
      </c>
      <c r="BL30" s="80">
        <f t="shared" ref="BL30:BO30" si="68">+BH30*(1+BL36)</f>
        <v>2680.7400000000002</v>
      </c>
      <c r="BM30" s="80">
        <f t="shared" si="68"/>
        <v>2938.6800000000003</v>
      </c>
      <c r="BN30" s="80">
        <f t="shared" si="68"/>
        <v>3075.98</v>
      </c>
      <c r="BO30" s="80">
        <f t="shared" si="68"/>
        <v>3621.0240000000003</v>
      </c>
      <c r="BQ30" s="64">
        <f t="shared" si="67"/>
        <v>32</v>
      </c>
      <c r="BR30" s="64">
        <f t="shared" si="67"/>
        <v>76</v>
      </c>
      <c r="BS30" s="64">
        <f t="shared" si="67"/>
        <v>115</v>
      </c>
      <c r="BT30" s="64">
        <f t="shared" si="67"/>
        <v>184</v>
      </c>
      <c r="BU30" s="64">
        <f t="shared" si="67"/>
        <v>392</v>
      </c>
      <c r="BV30" s="64">
        <f t="shared" si="67"/>
        <v>896</v>
      </c>
      <c r="BW30" s="64">
        <f t="shared" si="67"/>
        <v>997</v>
      </c>
      <c r="BX30" s="64">
        <f t="shared" si="67"/>
        <v>1679</v>
      </c>
      <c r="BY30" s="64">
        <f t="shared" si="67"/>
        <v>2724</v>
      </c>
      <c r="BZ30" s="64">
        <f t="shared" si="67"/>
        <v>3771</v>
      </c>
      <c r="CA30" s="64">
        <f t="shared" si="67"/>
        <v>4725</v>
      </c>
      <c r="CB30" s="64">
        <f t="shared" si="67"/>
        <v>7845</v>
      </c>
      <c r="CC30" s="64">
        <f>+SUM(AN30:AQ30)</f>
        <v>9876</v>
      </c>
      <c r="CD30" s="64">
        <f>+SUM(AR30:AU30)</f>
        <v>11590</v>
      </c>
      <c r="CE30" s="64">
        <f>+SUM(AV30:AY30)</f>
        <v>14043</v>
      </c>
      <c r="CF30" s="64">
        <f>+SUM(AZ30:BC30)</f>
        <v>14623</v>
      </c>
      <c r="CG30" s="64">
        <f>+SUM(BD30:BG30)</f>
        <v>11600</v>
      </c>
      <c r="CH30" s="64"/>
      <c r="CI30" s="64"/>
      <c r="CJ30" s="55">
        <f>+SUM(BJ32:BK32)/32571-1</f>
        <v>2.8111611400691183E-2</v>
      </c>
    </row>
    <row r="31" spans="2:89" ht="13.5" x14ac:dyDescent="0.35">
      <c r="B31" t="s">
        <v>519</v>
      </c>
      <c r="D31" s="65">
        <f>+D422</f>
        <v>22</v>
      </c>
      <c r="E31" s="65">
        <f t="shared" si="63"/>
        <v>26</v>
      </c>
      <c r="F31" s="65">
        <f t="shared" si="63"/>
        <v>34</v>
      </c>
      <c r="G31" s="65">
        <f t="shared" si="63"/>
        <v>40</v>
      </c>
      <c r="H31" s="65">
        <f t="shared" si="63"/>
        <v>57</v>
      </c>
      <c r="I31" s="65">
        <f t="shared" si="63"/>
        <v>83</v>
      </c>
      <c r="J31" s="65">
        <f t="shared" si="63"/>
        <v>82</v>
      </c>
      <c r="K31" s="65">
        <f t="shared" si="63"/>
        <v>92</v>
      </c>
      <c r="L31" s="65">
        <f t="shared" si="63"/>
        <v>104</v>
      </c>
      <c r="M31" s="65">
        <f t="shared" si="63"/>
        <v>463</v>
      </c>
      <c r="N31" s="65">
        <f t="shared" si="63"/>
        <v>151</v>
      </c>
      <c r="O31" s="65">
        <f t="shared" si="63"/>
        <v>174</v>
      </c>
      <c r="P31" s="65">
        <f t="shared" si="63"/>
        <v>176</v>
      </c>
      <c r="Q31" s="65">
        <f t="shared" si="63"/>
        <v>173</v>
      </c>
      <c r="R31" s="65">
        <f t="shared" si="63"/>
        <v>171</v>
      </c>
      <c r="S31" s="65">
        <f t="shared" si="63"/>
        <v>261</v>
      </c>
      <c r="T31" s="65">
        <f t="shared" si="63"/>
        <v>187</v>
      </c>
      <c r="U31" s="65">
        <f t="shared" si="63"/>
        <v>197</v>
      </c>
      <c r="V31" s="65">
        <f t="shared" si="63"/>
        <v>259</v>
      </c>
      <c r="W31" s="65">
        <f t="shared" si="63"/>
        <v>330</v>
      </c>
      <c r="X31" s="65">
        <f t="shared" si="63"/>
        <v>274</v>
      </c>
      <c r="Y31" s="65">
        <f t="shared" si="63"/>
        <v>305</v>
      </c>
      <c r="Z31" s="65">
        <f t="shared" si="63"/>
        <v>345</v>
      </c>
      <c r="AA31" s="65">
        <f t="shared" si="63"/>
        <v>371</v>
      </c>
      <c r="AB31" s="65">
        <f t="shared" si="63"/>
        <v>365</v>
      </c>
      <c r="AC31" s="65">
        <f t="shared" si="63"/>
        <v>413</v>
      </c>
      <c r="AD31" s="65">
        <f t="shared" si="63"/>
        <v>439</v>
      </c>
      <c r="AE31" s="65">
        <f t="shared" si="63"/>
        <v>515</v>
      </c>
      <c r="AF31" s="65">
        <f t="shared" si="63"/>
        <v>655</v>
      </c>
      <c r="AG31" s="65">
        <f t="shared" si="63"/>
        <v>640</v>
      </c>
      <c r="AH31" s="65">
        <f t="shared" si="63"/>
        <v>536</v>
      </c>
      <c r="AI31" s="65">
        <f t="shared" si="63"/>
        <v>686</v>
      </c>
      <c r="AJ31" s="65">
        <f t="shared" si="63"/>
        <v>757</v>
      </c>
      <c r="AK31" s="65">
        <f>+AK422</f>
        <v>776</v>
      </c>
      <c r="AL31" s="65">
        <f>+AL422</f>
        <v>943</v>
      </c>
      <c r="AM31" s="65">
        <f>+AM422</f>
        <v>976</v>
      </c>
      <c r="AN31" s="71">
        <f>+AN422-3000</f>
        <v>1064</v>
      </c>
      <c r="AO31" s="71">
        <f>+AO422-2000</f>
        <v>1224</v>
      </c>
      <c r="AP31" s="65">
        <f t="shared" ref="AP31:AU31" si="69">+AP422</f>
        <v>1348</v>
      </c>
      <c r="AQ31" s="71">
        <f>+AQ422-550</f>
        <v>1279</v>
      </c>
      <c r="AR31" s="65">
        <f t="shared" si="69"/>
        <v>1583</v>
      </c>
      <c r="AS31" s="65">
        <f t="shared" si="69"/>
        <v>1593</v>
      </c>
      <c r="AT31" s="65">
        <f t="shared" si="69"/>
        <v>1790</v>
      </c>
      <c r="AU31" s="65">
        <f t="shared" si="69"/>
        <v>1599</v>
      </c>
      <c r="AV31" s="65">
        <f t="shared" ref="AV31:BA31" si="70">+AV422</f>
        <v>1622</v>
      </c>
      <c r="AW31" s="65">
        <f t="shared" si="70"/>
        <v>1956</v>
      </c>
      <c r="AX31" s="65">
        <f t="shared" si="70"/>
        <v>2946</v>
      </c>
      <c r="AY31" s="65">
        <f t="shared" si="70"/>
        <v>3305</v>
      </c>
      <c r="AZ31" s="65">
        <f t="shared" si="70"/>
        <v>2360</v>
      </c>
      <c r="BA31" s="65">
        <f t="shared" si="70"/>
        <v>2987</v>
      </c>
      <c r="BB31" s="71">
        <f>+BB422-759+684</f>
        <v>3309</v>
      </c>
      <c r="BC31" s="71">
        <f>+BC422-684</f>
        <v>2401</v>
      </c>
      <c r="BD31" s="71">
        <f>+BD422-311</f>
        <v>2574</v>
      </c>
      <c r="BE31" s="71">
        <f>+BE422-266-1870</f>
        <v>2028</v>
      </c>
      <c r="BF31" s="71">
        <f>+BF422-86</f>
        <v>1984</v>
      </c>
      <c r="BG31" s="71">
        <f>+BG422-139</f>
        <v>2150</v>
      </c>
      <c r="BH31" s="71">
        <f>+BH422-32</f>
        <v>3423</v>
      </c>
      <c r="BI31" s="71">
        <f>+BI422-1400</f>
        <v>2258</v>
      </c>
      <c r="BJ31" s="72">
        <f>+BJ422</f>
        <v>1865</v>
      </c>
      <c r="BK31" s="72">
        <f>+BK32-SUM(BK29:BK30)</f>
        <v>2400.4032949319098</v>
      </c>
      <c r="BL31" s="72">
        <f t="shared" ref="BL31:BO31" si="71">+BL32-SUM(BL29:BL30)</f>
        <v>3267.7526507910934</v>
      </c>
      <c r="BM31" s="72">
        <f t="shared" si="71"/>
        <v>2072.6415962548544</v>
      </c>
      <c r="BN31" s="72">
        <f t="shared" si="71"/>
        <v>2095.7447523445753</v>
      </c>
      <c r="BO31" s="72">
        <f t="shared" si="71"/>
        <v>2549.9691295740922</v>
      </c>
      <c r="BQ31" s="65">
        <f t="shared" si="67"/>
        <v>123</v>
      </c>
      <c r="BR31" s="65">
        <f t="shared" si="67"/>
        <v>80</v>
      </c>
      <c r="BS31" s="65">
        <f t="shared" si="67"/>
        <v>90</v>
      </c>
      <c r="BT31" s="65">
        <f t="shared" si="67"/>
        <v>121</v>
      </c>
      <c r="BU31" s="65">
        <f t="shared" si="67"/>
        <v>314</v>
      </c>
      <c r="BV31" s="65">
        <f t="shared" si="67"/>
        <v>892</v>
      </c>
      <c r="BW31" s="65">
        <f t="shared" si="67"/>
        <v>781</v>
      </c>
      <c r="BX31" s="65">
        <f t="shared" si="67"/>
        <v>973</v>
      </c>
      <c r="BY31" s="65">
        <f t="shared" si="67"/>
        <v>1295</v>
      </c>
      <c r="BZ31" s="65">
        <f t="shared" si="67"/>
        <v>1732</v>
      </c>
      <c r="CA31" s="65">
        <f t="shared" si="67"/>
        <v>2517</v>
      </c>
      <c r="CB31" s="65">
        <f t="shared" si="67"/>
        <v>3452</v>
      </c>
      <c r="CC31" s="65">
        <f>+SUM(AN31:AQ31)</f>
        <v>4915</v>
      </c>
      <c r="CD31" s="65">
        <f>+SUM(AR31:AU31)</f>
        <v>6565</v>
      </c>
      <c r="CE31" s="65">
        <f>+SUM(AV31:AY31)</f>
        <v>9829</v>
      </c>
      <c r="CF31" s="65">
        <f>+SUM(AZ31:BC31)</f>
        <v>11057</v>
      </c>
      <c r="CG31" s="65">
        <f>+SUM(BD31:BG31)</f>
        <v>8736</v>
      </c>
      <c r="CH31" s="65"/>
      <c r="CI31" s="65"/>
    </row>
    <row r="32" spans="2:89" x14ac:dyDescent="0.2">
      <c r="B32" s="70" t="s">
        <v>290</v>
      </c>
      <c r="D32" s="64">
        <f>SUM(D29:D31)</f>
        <v>83</v>
      </c>
      <c r="E32" s="64">
        <f t="shared" ref="E32:BQ32" si="72">SUM(E29:E31)</f>
        <v>102</v>
      </c>
      <c r="F32" s="64">
        <f t="shared" si="72"/>
        <v>120</v>
      </c>
      <c r="G32" s="64">
        <f t="shared" si="72"/>
        <v>144</v>
      </c>
      <c r="H32" s="64">
        <f t="shared" si="72"/>
        <v>176</v>
      </c>
      <c r="I32" s="64">
        <f t="shared" si="72"/>
        <v>278</v>
      </c>
      <c r="J32" s="64">
        <f t="shared" si="72"/>
        <v>304</v>
      </c>
      <c r="K32" s="64">
        <f t="shared" si="72"/>
        <v>336</v>
      </c>
      <c r="L32" s="64">
        <f t="shared" si="72"/>
        <v>400</v>
      </c>
      <c r="M32" s="64">
        <f t="shared" si="72"/>
        <v>1560</v>
      </c>
      <c r="N32" s="64">
        <f t="shared" si="72"/>
        <v>563</v>
      </c>
      <c r="O32" s="64">
        <f t="shared" si="72"/>
        <v>664</v>
      </c>
      <c r="P32" s="64">
        <f t="shared" si="72"/>
        <v>672</v>
      </c>
      <c r="Q32" s="64">
        <f t="shared" si="72"/>
        <v>786</v>
      </c>
      <c r="R32" s="64">
        <f t="shared" si="72"/>
        <v>773</v>
      </c>
      <c r="S32" s="64">
        <f t="shared" si="72"/>
        <v>961</v>
      </c>
      <c r="T32" s="64">
        <f t="shared" si="72"/>
        <v>965</v>
      </c>
      <c r="U32" s="64">
        <f t="shared" si="72"/>
        <v>1047</v>
      </c>
      <c r="V32" s="64">
        <f t="shared" si="72"/>
        <v>1241</v>
      </c>
      <c r="W32" s="64">
        <f t="shared" si="72"/>
        <v>2065</v>
      </c>
      <c r="X32" s="64">
        <f t="shared" si="72"/>
        <v>1956</v>
      </c>
      <c r="Y32" s="64">
        <f t="shared" si="72"/>
        <v>2101</v>
      </c>
      <c r="Z32" s="64">
        <f t="shared" si="72"/>
        <v>2322</v>
      </c>
      <c r="AA32" s="64">
        <f t="shared" si="72"/>
        <v>2457</v>
      </c>
      <c r="AB32" s="64">
        <f t="shared" si="72"/>
        <v>2534</v>
      </c>
      <c r="AC32" s="64">
        <f t="shared" si="72"/>
        <v>2785</v>
      </c>
      <c r="AD32" s="64">
        <f t="shared" si="72"/>
        <v>2907</v>
      </c>
      <c r="AE32" s="64">
        <f t="shared" si="72"/>
        <v>3196</v>
      </c>
      <c r="AF32" s="64">
        <f t="shared" si="72"/>
        <v>3546</v>
      </c>
      <c r="AG32" s="64">
        <f t="shared" si="72"/>
        <v>3683</v>
      </c>
      <c r="AH32" s="64">
        <f t="shared" si="72"/>
        <v>3758</v>
      </c>
      <c r="AI32" s="64">
        <f t="shared" si="72"/>
        <v>4009</v>
      </c>
      <c r="AJ32" s="64">
        <f t="shared" si="72"/>
        <v>4590</v>
      </c>
      <c r="AK32" s="64">
        <f t="shared" si="72"/>
        <v>5154</v>
      </c>
      <c r="AL32" s="64">
        <f t="shared" si="72"/>
        <v>5528</v>
      </c>
      <c r="AM32" s="64">
        <f t="shared" si="72"/>
        <v>6298</v>
      </c>
      <c r="AN32" s="64">
        <f t="shared" si="72"/>
        <v>5944</v>
      </c>
      <c r="AO32" s="64">
        <f t="shared" si="72"/>
        <v>6953</v>
      </c>
      <c r="AP32" s="64">
        <f t="shared" si="72"/>
        <v>7312</v>
      </c>
      <c r="AQ32" s="64">
        <f t="shared" si="72"/>
        <v>8182</v>
      </c>
      <c r="AR32" s="64">
        <f t="shared" si="72"/>
        <v>8385</v>
      </c>
      <c r="AS32" s="64">
        <f t="shared" si="72"/>
        <v>8895</v>
      </c>
      <c r="AT32" s="64">
        <f t="shared" si="72"/>
        <v>9236</v>
      </c>
      <c r="AU32" s="64">
        <f t="shared" ref="AU32:AZ32" si="73">SUM(AU29:AU31)</f>
        <v>10087</v>
      </c>
      <c r="AV32" s="64">
        <f t="shared" si="73"/>
        <v>9662</v>
      </c>
      <c r="AW32" s="64">
        <f t="shared" si="73"/>
        <v>11311</v>
      </c>
      <c r="AX32" s="64">
        <f t="shared" si="73"/>
        <v>12816</v>
      </c>
      <c r="AY32" s="64">
        <f t="shared" si="73"/>
        <v>14738</v>
      </c>
      <c r="AZ32" s="64">
        <f t="shared" si="73"/>
        <v>13379</v>
      </c>
      <c r="BA32" s="64">
        <f t="shared" ref="BA32:BI32" si="74">SUM(BA29:BA31)</f>
        <v>15272</v>
      </c>
      <c r="BB32" s="64">
        <f t="shared" si="74"/>
        <v>15954</v>
      </c>
      <c r="BC32" s="64">
        <f t="shared" si="74"/>
        <v>14694</v>
      </c>
      <c r="BD32" s="64">
        <f t="shared" si="74"/>
        <v>14056</v>
      </c>
      <c r="BE32" s="64">
        <f t="shared" si="74"/>
        <v>13970</v>
      </c>
      <c r="BF32" s="64">
        <f t="shared" si="74"/>
        <v>13821</v>
      </c>
      <c r="BG32" s="64">
        <f t="shared" si="74"/>
        <v>14977</v>
      </c>
      <c r="BH32" s="64">
        <f t="shared" si="74"/>
        <v>15771</v>
      </c>
      <c r="BI32" s="64">
        <f t="shared" si="74"/>
        <v>15516</v>
      </c>
      <c r="BJ32" s="64">
        <f t="shared" ref="BJ32" si="75">SUM(BJ29:BJ31)</f>
        <v>15864</v>
      </c>
      <c r="BK32" s="64">
        <f>+BK179</f>
        <v>17622.623294931909</v>
      </c>
      <c r="BL32" s="64">
        <f t="shared" ref="BL32:BO32" si="76">+BL179</f>
        <v>17927.672650791093</v>
      </c>
      <c r="BM32" s="64">
        <f t="shared" si="76"/>
        <v>17655.721596254854</v>
      </c>
      <c r="BN32" s="64">
        <f t="shared" si="76"/>
        <v>18472.354752344574</v>
      </c>
      <c r="BO32" s="64">
        <f t="shared" si="76"/>
        <v>20129.537729574091</v>
      </c>
      <c r="BQ32" s="64">
        <f t="shared" si="72"/>
        <v>236</v>
      </c>
      <c r="BR32" s="64">
        <f>SUM(BR29:BR31)</f>
        <v>203</v>
      </c>
      <c r="BS32" s="64">
        <f t="shared" ref="BS32:CB32" si="77">SUM(BS29:BS31)</f>
        <v>292</v>
      </c>
      <c r="BT32" s="64">
        <f t="shared" si="77"/>
        <v>449</v>
      </c>
      <c r="BU32" s="64">
        <f t="shared" si="77"/>
        <v>1094</v>
      </c>
      <c r="BV32" s="64">
        <f t="shared" si="77"/>
        <v>3187</v>
      </c>
      <c r="BW32" s="64">
        <f t="shared" si="77"/>
        <v>3192</v>
      </c>
      <c r="BX32" s="64">
        <f t="shared" si="77"/>
        <v>5318</v>
      </c>
      <c r="BY32" s="64">
        <f t="shared" si="77"/>
        <v>8836</v>
      </c>
      <c r="BZ32" s="64">
        <f t="shared" si="77"/>
        <v>11422</v>
      </c>
      <c r="CA32" s="64">
        <f t="shared" si="77"/>
        <v>14996</v>
      </c>
      <c r="CB32" s="64">
        <f t="shared" si="77"/>
        <v>21570</v>
      </c>
      <c r="CC32" s="64">
        <f>+SUM(AN32:AQ32)</f>
        <v>28391</v>
      </c>
      <c r="CD32" s="64">
        <f>+SUM(AR32:AU32)</f>
        <v>36603</v>
      </c>
      <c r="CE32" s="64">
        <f>+SUM(AV32:AY32)</f>
        <v>48527</v>
      </c>
      <c r="CF32" s="64">
        <f>+SUM(AZ32:BC32)</f>
        <v>59299</v>
      </c>
      <c r="CG32" s="64">
        <f>+SUM(BD32:BG32)</f>
        <v>56824</v>
      </c>
      <c r="CH32" s="64">
        <f>+SUM(BH32:BK32)</f>
        <v>64773.623294931909</v>
      </c>
      <c r="CI32" s="64">
        <f>+SUM(BL32:BO32)</f>
        <v>74185.286728964609</v>
      </c>
    </row>
    <row r="33" spans="2:87" x14ac:dyDescent="0.2">
      <c r="B33" s="60"/>
      <c r="H33" s="49"/>
      <c r="I33" s="49"/>
      <c r="J33" s="49"/>
      <c r="K33" s="49"/>
      <c r="L33" s="49"/>
      <c r="AB33" s="49"/>
      <c r="AC33" s="49"/>
      <c r="AD33" s="49"/>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c r="BM33" s="64"/>
      <c r="BN33" s="64"/>
      <c r="BO33" s="64"/>
      <c r="BU33" s="49"/>
    </row>
    <row r="34" spans="2:87" s="76" customFormat="1" x14ac:dyDescent="0.2">
      <c r="B34" s="89" t="s">
        <v>17</v>
      </c>
      <c r="H34" s="49"/>
      <c r="I34" s="49"/>
      <c r="J34" s="49"/>
      <c r="K34" s="49"/>
      <c r="L34" s="49"/>
      <c r="AB34" s="49"/>
      <c r="AC34" s="49"/>
      <c r="AD34" s="49"/>
      <c r="AW34" s="160"/>
      <c r="BI34" s="95"/>
      <c r="BJ34" s="95"/>
      <c r="BU34" s="49"/>
    </row>
    <row r="35" spans="2:87" s="76" customFormat="1" x14ac:dyDescent="0.2">
      <c r="B35" s="101" t="s">
        <v>517</v>
      </c>
      <c r="H35" s="106">
        <f t="shared" ref="H35:Q38" si="78">+H29/D29-1</f>
        <v>1.2799999999999998</v>
      </c>
      <c r="I35" s="106">
        <f t="shared" si="78"/>
        <v>2.09375</v>
      </c>
      <c r="J35" s="106">
        <f t="shared" si="78"/>
        <v>1.6341463414634148</v>
      </c>
      <c r="K35" s="106">
        <f t="shared" si="78"/>
        <v>1.7555555555555555</v>
      </c>
      <c r="L35" s="106">
        <f t="shared" si="78"/>
        <v>1.6842105263157894</v>
      </c>
      <c r="M35" s="106">
        <f t="shared" si="78"/>
        <v>6.1212121212121211</v>
      </c>
      <c r="N35" s="106">
        <f t="shared" si="78"/>
        <v>1.2592592592592591</v>
      </c>
      <c r="O35" s="106">
        <f t="shared" si="78"/>
        <v>1.3951612903225805</v>
      </c>
      <c r="P35" s="106">
        <f t="shared" si="78"/>
        <v>0.91503267973856217</v>
      </c>
      <c r="Q35" s="106">
        <f t="shared" si="78"/>
        <v>-0.51205673758865244</v>
      </c>
      <c r="R35" s="106">
        <f t="shared" ref="R35:AA38" si="79">+R29/N29-1</f>
        <v>0.51229508196721318</v>
      </c>
      <c r="S35" s="106">
        <f t="shared" si="79"/>
        <v>0.3737373737373737</v>
      </c>
      <c r="T35" s="106">
        <f t="shared" si="79"/>
        <v>0.55290102389078499</v>
      </c>
      <c r="U35" s="106">
        <f t="shared" si="79"/>
        <v>0.43023255813953498</v>
      </c>
      <c r="V35" s="106">
        <f t="shared" si="79"/>
        <v>0.64769647696476973</v>
      </c>
      <c r="W35" s="106">
        <f t="shared" si="79"/>
        <v>1.7230392156862746</v>
      </c>
      <c r="X35" s="106">
        <f t="shared" si="79"/>
        <v>1.3340659340659342</v>
      </c>
      <c r="Y35" s="106">
        <f t="shared" si="79"/>
        <v>1.3780487804878048</v>
      </c>
      <c r="Z35" s="106">
        <f t="shared" si="79"/>
        <v>1.0904605263157894</v>
      </c>
      <c r="AA35" s="106">
        <f t="shared" si="79"/>
        <v>0.1827182718271827</v>
      </c>
      <c r="AB35" s="106">
        <f t="shared" ref="AB35:AK38" si="80">+AB29/X29-1</f>
        <v>0.26459510357815441</v>
      </c>
      <c r="AC35" s="106">
        <f t="shared" si="80"/>
        <v>0.25726495726495724</v>
      </c>
      <c r="AD35" s="106">
        <f t="shared" si="80"/>
        <v>0.21321793863099914</v>
      </c>
      <c r="AE35" s="106">
        <f t="shared" si="80"/>
        <v>0.18949771689497719</v>
      </c>
      <c r="AF35" s="106">
        <f t="shared" si="80"/>
        <v>0.36559940431868942</v>
      </c>
      <c r="AG35" s="106">
        <f t="shared" si="80"/>
        <v>0.30455472467709033</v>
      </c>
      <c r="AH35" s="106">
        <f t="shared" si="80"/>
        <v>0.33073929961089488</v>
      </c>
      <c r="AI35" s="106">
        <f t="shared" si="80"/>
        <v>0.24696097248880355</v>
      </c>
      <c r="AJ35" s="106">
        <f t="shared" si="80"/>
        <v>0.22028353326063255</v>
      </c>
      <c r="AK35" s="106">
        <f t="shared" si="80"/>
        <v>0.31474726420010413</v>
      </c>
      <c r="AL35" s="106">
        <f t="shared" ref="AL35:AU38" si="81">+AL29/AH29-1</f>
        <v>0.29483430799220267</v>
      </c>
      <c r="AM35" s="106">
        <f t="shared" si="81"/>
        <v>0.46485377116469984</v>
      </c>
      <c r="AN35" s="106">
        <f t="shared" si="81"/>
        <v>0.27792672028596965</v>
      </c>
      <c r="AO35" s="106">
        <f t="shared" si="81"/>
        <v>0.31391200951248521</v>
      </c>
      <c r="AP35" s="106">
        <f t="shared" si="81"/>
        <v>0.33534060971019941</v>
      </c>
      <c r="AQ35" s="106">
        <f t="shared" si="81"/>
        <v>0.35796847635726792</v>
      </c>
      <c r="AR35" s="106">
        <f t="shared" si="81"/>
        <v>0.40384615384615374</v>
      </c>
      <c r="AS35" s="106">
        <f t="shared" si="81"/>
        <v>0.34600301659125199</v>
      </c>
      <c r="AT35" s="106">
        <f t="shared" si="81"/>
        <v>0.34244644870349483</v>
      </c>
      <c r="AU35" s="106">
        <f t="shared" si="81"/>
        <v>0.34330668042300738</v>
      </c>
      <c r="AV35" s="106">
        <f t="shared" ref="AV35:BJ38" si="82">+AV29/AR29-1</f>
        <v>0.29439601494396017</v>
      </c>
      <c r="AW35" s="106">
        <f t="shared" si="82"/>
        <v>0.36620349619004933</v>
      </c>
      <c r="AX35" s="106">
        <f t="shared" si="82"/>
        <v>0.32605500734830994</v>
      </c>
      <c r="AY35" s="106">
        <f t="shared" si="82"/>
        <v>0.35291858678955457</v>
      </c>
      <c r="AZ35" s="106">
        <f t="shared" si="82"/>
        <v>0.48297094477583213</v>
      </c>
      <c r="BA35" s="106">
        <f t="shared" si="82"/>
        <v>0.42552493438320216</v>
      </c>
      <c r="BB35" s="106">
        <f t="shared" si="82"/>
        <v>0.4152944901836606</v>
      </c>
      <c r="BC35" s="106">
        <f t="shared" si="82"/>
        <v>0.17556060175986365</v>
      </c>
      <c r="BD35" s="106">
        <f t="shared" si="82"/>
        <v>0.11288439081354618</v>
      </c>
      <c r="BE35" s="106">
        <f t="shared" si="82"/>
        <v>4.1311852704257745E-2</v>
      </c>
      <c r="BF35" s="106">
        <f t="shared" si="82"/>
        <v>1.6109184472536064E-2</v>
      </c>
      <c r="BG35" s="106">
        <f t="shared" si="82"/>
        <v>0.18061088977423645</v>
      </c>
      <c r="BH35" s="106">
        <f t="shared" si="82"/>
        <v>0.14480587618048268</v>
      </c>
      <c r="BI35" s="106">
        <f t="shared" si="82"/>
        <v>0.1644380594540833</v>
      </c>
      <c r="BJ35" s="106">
        <f t="shared" si="82"/>
        <v>0.2305405702961576</v>
      </c>
      <c r="BK35" s="138">
        <v>0.22</v>
      </c>
      <c r="BL35" s="138">
        <v>0.22</v>
      </c>
      <c r="BM35" s="138">
        <v>0.2</v>
      </c>
      <c r="BN35" s="138">
        <v>0.19</v>
      </c>
      <c r="BO35" s="138">
        <v>0.17</v>
      </c>
      <c r="BP35" s="106"/>
      <c r="BQ35" s="106"/>
      <c r="BR35" s="106">
        <f t="shared" ref="BR35:CG35" si="83">+BR29/BQ29-1</f>
        <v>-0.41975308641975306</v>
      </c>
      <c r="BS35" s="106">
        <f t="shared" si="83"/>
        <v>0.85106382978723394</v>
      </c>
      <c r="BT35" s="106">
        <f t="shared" si="83"/>
        <v>0.65517241379310343</v>
      </c>
      <c r="BU35" s="106">
        <f t="shared" si="83"/>
        <v>1.6944444444444446</v>
      </c>
      <c r="BV35" s="106">
        <f t="shared" si="83"/>
        <v>2.6056701030927836</v>
      </c>
      <c r="BW35" s="106">
        <f t="shared" si="83"/>
        <v>1.0721944245889903E-2</v>
      </c>
      <c r="BX35" s="106">
        <f t="shared" si="83"/>
        <v>0.88543140028288536</v>
      </c>
      <c r="BY35" s="106">
        <f t="shared" si="83"/>
        <v>0.80682670667666923</v>
      </c>
      <c r="BZ35" s="106">
        <f t="shared" si="83"/>
        <v>0.22877309528752332</v>
      </c>
      <c r="CA35" s="106">
        <f t="shared" si="83"/>
        <v>0.31001858422030759</v>
      </c>
      <c r="CB35" s="106">
        <f t="shared" si="83"/>
        <v>0.3248645860201187</v>
      </c>
      <c r="CC35" s="106">
        <f t="shared" si="83"/>
        <v>0.32385865861968277</v>
      </c>
      <c r="CD35" s="106">
        <f t="shared" si="83"/>
        <v>0.35647058823529409</v>
      </c>
      <c r="CE35" s="106">
        <f t="shared" si="83"/>
        <v>0.3364592367736341</v>
      </c>
      <c r="CF35" s="106">
        <f t="shared" si="83"/>
        <v>0.36357736767389981</v>
      </c>
      <c r="CG35" s="106">
        <f t="shared" si="83"/>
        <v>8.5338647788453015E-2</v>
      </c>
      <c r="CH35" s="106"/>
      <c r="CI35" s="106"/>
    </row>
    <row r="36" spans="2:87" s="76" customFormat="1" x14ac:dyDescent="0.2">
      <c r="B36" s="101" t="s">
        <v>518</v>
      </c>
      <c r="H36" s="106">
        <f t="shared" si="78"/>
        <v>0.72222222222222232</v>
      </c>
      <c r="I36" s="106">
        <f t="shared" si="78"/>
        <v>1.1818181818181817</v>
      </c>
      <c r="J36" s="106">
        <f t="shared" si="78"/>
        <v>1.5333333333333332</v>
      </c>
      <c r="K36" s="106">
        <f t="shared" si="78"/>
        <v>1.0338983050847457</v>
      </c>
      <c r="L36" s="106">
        <f t="shared" si="78"/>
        <v>1.306451612903226</v>
      </c>
      <c r="M36" s="106">
        <f t="shared" si="78"/>
        <v>3.083333333333333</v>
      </c>
      <c r="N36" s="106">
        <f t="shared" si="78"/>
        <v>0.47368421052631571</v>
      </c>
      <c r="O36" s="106">
        <f t="shared" si="78"/>
        <v>0.60833333333333339</v>
      </c>
      <c r="P36" s="106">
        <f t="shared" si="78"/>
        <v>0.41958041958041958</v>
      </c>
      <c r="Q36" s="106">
        <f t="shared" si="78"/>
        <v>-0.31377551020408168</v>
      </c>
      <c r="R36" s="106">
        <f t="shared" si="79"/>
        <v>0.38690476190476186</v>
      </c>
      <c r="S36" s="106">
        <f t="shared" si="79"/>
        <v>0.51295336787564771</v>
      </c>
      <c r="T36" s="106">
        <f t="shared" si="79"/>
        <v>0.59113300492610832</v>
      </c>
      <c r="U36" s="106">
        <f t="shared" si="79"/>
        <v>0.33085501858736066</v>
      </c>
      <c r="V36" s="106">
        <f t="shared" si="79"/>
        <v>0.60515021459227469</v>
      </c>
      <c r="W36" s="106">
        <f t="shared" si="79"/>
        <v>1.1369863013698631</v>
      </c>
      <c r="X36" s="106">
        <f t="shared" si="79"/>
        <v>0.91950464396284826</v>
      </c>
      <c r="Y36" s="106">
        <f t="shared" si="79"/>
        <v>0.74860335195530725</v>
      </c>
      <c r="Z36" s="106">
        <f t="shared" si="79"/>
        <v>0.88770053475935828</v>
      </c>
      <c r="AA36" s="106">
        <f t="shared" si="79"/>
        <v>0.23717948717948723</v>
      </c>
      <c r="AB36" s="106">
        <f t="shared" si="80"/>
        <v>0.33225806451612905</v>
      </c>
      <c r="AC36" s="106">
        <f t="shared" si="80"/>
        <v>0.43929712460063897</v>
      </c>
      <c r="AD36" s="106">
        <f t="shared" si="80"/>
        <v>0.31161473087818692</v>
      </c>
      <c r="AE36" s="106">
        <f t="shared" si="80"/>
        <v>0.44818652849740936</v>
      </c>
      <c r="AF36" s="106">
        <f t="shared" si="80"/>
        <v>0.27966101694915246</v>
      </c>
      <c r="AG36" s="106">
        <f t="shared" si="80"/>
        <v>0.24750277469478354</v>
      </c>
      <c r="AH36" s="106">
        <f t="shared" si="80"/>
        <v>0.26349892008639308</v>
      </c>
      <c r="AI36" s="106">
        <f t="shared" si="80"/>
        <v>0.22898032200357776</v>
      </c>
      <c r="AJ36" s="106">
        <f t="shared" si="80"/>
        <v>0.50898770104068114</v>
      </c>
      <c r="AK36" s="106">
        <f t="shared" si="80"/>
        <v>0.6503558718861211</v>
      </c>
      <c r="AL36" s="106">
        <f t="shared" si="81"/>
        <v>0.64786324786324778</v>
      </c>
      <c r="AM36" s="106">
        <f t="shared" si="81"/>
        <v>0.79548762736535661</v>
      </c>
      <c r="AN36" s="106">
        <f t="shared" si="81"/>
        <v>0.26645768025078365</v>
      </c>
      <c r="AO36" s="106">
        <f t="shared" si="81"/>
        <v>0.30134770889487861</v>
      </c>
      <c r="AP36" s="106">
        <f t="shared" si="81"/>
        <v>0.25311203319502074</v>
      </c>
      <c r="AQ36" s="106">
        <f t="shared" si="81"/>
        <v>0.22659100121605191</v>
      </c>
      <c r="AR36" s="106">
        <f t="shared" si="81"/>
        <v>0.3797029702970296</v>
      </c>
      <c r="AS36" s="106">
        <f t="shared" si="81"/>
        <v>0.17647058823529416</v>
      </c>
      <c r="AT36" s="106">
        <f t="shared" si="81"/>
        <v>0.11051324503311255</v>
      </c>
      <c r="AU36" s="106">
        <f t="shared" si="81"/>
        <v>8.393919365499003E-2</v>
      </c>
      <c r="AV36" s="106">
        <f t="shared" si="82"/>
        <v>2.0093290276282705E-2</v>
      </c>
      <c r="AW36" s="106">
        <f t="shared" si="82"/>
        <v>0.1475352112676056</v>
      </c>
      <c r="AX36" s="106">
        <f t="shared" si="82"/>
        <v>0.32463660081997769</v>
      </c>
      <c r="AY36" s="106">
        <f t="shared" si="82"/>
        <v>0.33749999999999991</v>
      </c>
      <c r="AZ36" s="106">
        <f t="shared" si="82"/>
        <v>0.16496658459373892</v>
      </c>
      <c r="BA36" s="106">
        <f t="shared" si="82"/>
        <v>0.10309911015648976</v>
      </c>
      <c r="BB36" s="106">
        <f t="shared" si="82"/>
        <v>4.2768711311198748E-2</v>
      </c>
      <c r="BC36" s="106">
        <f t="shared" si="82"/>
        <v>-8.5935719170275759E-2</v>
      </c>
      <c r="BD36" s="106">
        <f t="shared" si="82"/>
        <v>-0.12288647342995174</v>
      </c>
      <c r="BE36" s="106">
        <f t="shared" si="82"/>
        <v>-0.19527121001390824</v>
      </c>
      <c r="BF36" s="106">
        <f t="shared" si="82"/>
        <v>-0.25688073394495414</v>
      </c>
      <c r="BG36" s="106">
        <f t="shared" si="82"/>
        <v>-0.23990024937655863</v>
      </c>
      <c r="BH36" s="106">
        <f t="shared" si="82"/>
        <v>-0.1294320137693632</v>
      </c>
      <c r="BI36" s="106">
        <f t="shared" si="82"/>
        <v>-5.9453854130660178E-2</v>
      </c>
      <c r="BJ36" s="106">
        <f t="shared" si="82"/>
        <v>2.4691358024691468E-2</v>
      </c>
      <c r="BK36" s="138">
        <v>0.08</v>
      </c>
      <c r="BL36" s="138">
        <v>0.06</v>
      </c>
      <c r="BM36" s="138">
        <v>0.08</v>
      </c>
      <c r="BN36" s="138">
        <v>0.09</v>
      </c>
      <c r="BO36" s="138">
        <v>0.1</v>
      </c>
      <c r="BP36" s="106"/>
      <c r="BQ36" s="106"/>
      <c r="BR36" s="106">
        <f t="shared" ref="BR36:CG36" si="84">+BR30/BQ30-1</f>
        <v>1.375</v>
      </c>
      <c r="BS36" s="106">
        <f t="shared" si="84"/>
        <v>0.51315789473684204</v>
      </c>
      <c r="BT36" s="106">
        <f t="shared" si="84"/>
        <v>0.60000000000000009</v>
      </c>
      <c r="BU36" s="106">
        <f t="shared" si="84"/>
        <v>1.1304347826086958</v>
      </c>
      <c r="BV36" s="106">
        <f t="shared" si="84"/>
        <v>1.2857142857142856</v>
      </c>
      <c r="BW36" s="106">
        <f t="shared" si="84"/>
        <v>0.11272321428571419</v>
      </c>
      <c r="BX36" s="106">
        <f t="shared" si="84"/>
        <v>0.6840521564694082</v>
      </c>
      <c r="BY36" s="106">
        <f t="shared" si="84"/>
        <v>0.62239428231089944</v>
      </c>
      <c r="BZ36" s="106">
        <f t="shared" si="84"/>
        <v>0.38436123348017626</v>
      </c>
      <c r="CA36" s="106">
        <f t="shared" si="84"/>
        <v>0.25298329355608584</v>
      </c>
      <c r="CB36" s="106">
        <f t="shared" si="84"/>
        <v>0.66031746031746041</v>
      </c>
      <c r="CC36" s="106">
        <f t="shared" si="84"/>
        <v>0.25889101338432119</v>
      </c>
      <c r="CD36" s="106">
        <f t="shared" si="84"/>
        <v>0.17355204536249502</v>
      </c>
      <c r="CE36" s="106">
        <f t="shared" si="84"/>
        <v>0.21164797238999133</v>
      </c>
      <c r="CF36" s="106">
        <f t="shared" si="84"/>
        <v>4.1301716157516211E-2</v>
      </c>
      <c r="CG36" s="106">
        <f t="shared" si="84"/>
        <v>-0.20672912535047527</v>
      </c>
      <c r="CH36" s="106"/>
      <c r="CI36" s="106"/>
    </row>
    <row r="37" spans="2:87" s="76" customFormat="1" ht="13.5" x14ac:dyDescent="0.35">
      <c r="B37" s="101" t="s">
        <v>519</v>
      </c>
      <c r="H37" s="108">
        <f t="shared" si="78"/>
        <v>1.5909090909090908</v>
      </c>
      <c r="I37" s="108">
        <f t="shared" si="78"/>
        <v>2.1923076923076925</v>
      </c>
      <c r="J37" s="108">
        <f t="shared" si="78"/>
        <v>1.4117647058823528</v>
      </c>
      <c r="K37" s="108">
        <f t="shared" si="78"/>
        <v>1.2999999999999998</v>
      </c>
      <c r="L37" s="108">
        <f t="shared" si="78"/>
        <v>0.82456140350877183</v>
      </c>
      <c r="M37" s="108">
        <f t="shared" si="78"/>
        <v>4.5783132530120483</v>
      </c>
      <c r="N37" s="108">
        <f t="shared" si="78"/>
        <v>0.84146341463414642</v>
      </c>
      <c r="O37" s="108">
        <f t="shared" si="78"/>
        <v>0.89130434782608692</v>
      </c>
      <c r="P37" s="108">
        <f t="shared" si="78"/>
        <v>0.69230769230769229</v>
      </c>
      <c r="Q37" s="108">
        <f t="shared" si="78"/>
        <v>-0.62634989200863933</v>
      </c>
      <c r="R37" s="108">
        <f t="shared" si="79"/>
        <v>0.13245033112582782</v>
      </c>
      <c r="S37" s="108">
        <f t="shared" si="79"/>
        <v>0.5</v>
      </c>
      <c r="T37" s="108">
        <f t="shared" si="79"/>
        <v>6.25E-2</v>
      </c>
      <c r="U37" s="108">
        <f t="shared" si="79"/>
        <v>0.1387283236994219</v>
      </c>
      <c r="V37" s="108">
        <f t="shared" si="79"/>
        <v>0.51461988304093564</v>
      </c>
      <c r="W37" s="108">
        <f t="shared" si="79"/>
        <v>0.26436781609195403</v>
      </c>
      <c r="X37" s="108">
        <f t="shared" si="79"/>
        <v>0.46524064171123003</v>
      </c>
      <c r="Y37" s="108">
        <f t="shared" si="79"/>
        <v>0.5482233502538072</v>
      </c>
      <c r="Z37" s="108">
        <f t="shared" si="79"/>
        <v>0.33204633204633205</v>
      </c>
      <c r="AA37" s="108">
        <f t="shared" si="79"/>
        <v>0.12424242424242427</v>
      </c>
      <c r="AB37" s="108">
        <f t="shared" si="80"/>
        <v>0.33211678832116798</v>
      </c>
      <c r="AC37" s="108">
        <f t="shared" si="80"/>
        <v>0.35409836065573774</v>
      </c>
      <c r="AD37" s="108">
        <f t="shared" si="80"/>
        <v>0.27246376811594208</v>
      </c>
      <c r="AE37" s="108">
        <f t="shared" si="80"/>
        <v>0.38814016172506749</v>
      </c>
      <c r="AF37" s="108">
        <f t="shared" si="80"/>
        <v>0.79452054794520555</v>
      </c>
      <c r="AG37" s="108">
        <f t="shared" si="80"/>
        <v>0.54963680387409197</v>
      </c>
      <c r="AH37" s="108">
        <f t="shared" si="80"/>
        <v>0.22095671981776754</v>
      </c>
      <c r="AI37" s="108">
        <f t="shared" si="80"/>
        <v>0.33203883495145625</v>
      </c>
      <c r="AJ37" s="108">
        <f t="shared" si="80"/>
        <v>0.1557251908396946</v>
      </c>
      <c r="AK37" s="108">
        <f t="shared" si="80"/>
        <v>0.21249999999999991</v>
      </c>
      <c r="AL37" s="108">
        <f t="shared" si="81"/>
        <v>0.75932835820895517</v>
      </c>
      <c r="AM37" s="108">
        <f t="shared" si="81"/>
        <v>0.42274052478134116</v>
      </c>
      <c r="AN37" s="108">
        <f t="shared" si="81"/>
        <v>0.40554821664465002</v>
      </c>
      <c r="AO37" s="108">
        <f t="shared" si="81"/>
        <v>0.57731958762886593</v>
      </c>
      <c r="AP37" s="108">
        <f t="shared" si="81"/>
        <v>0.42948038176033942</v>
      </c>
      <c r="AQ37" s="108">
        <f t="shared" si="81"/>
        <v>0.31045081967213117</v>
      </c>
      <c r="AR37" s="108">
        <f t="shared" si="81"/>
        <v>0.48778195488721798</v>
      </c>
      <c r="AS37" s="108">
        <f t="shared" si="81"/>
        <v>0.30147058823529416</v>
      </c>
      <c r="AT37" s="108">
        <f t="shared" si="81"/>
        <v>0.32789317507418403</v>
      </c>
      <c r="AU37" s="108">
        <f t="shared" si="81"/>
        <v>0.25019546520719316</v>
      </c>
      <c r="AV37" s="108">
        <f t="shared" si="82"/>
        <v>2.4636765634870494E-2</v>
      </c>
      <c r="AW37" s="108">
        <f t="shared" si="82"/>
        <v>0.22787193973634645</v>
      </c>
      <c r="AX37" s="108">
        <f t="shared" si="82"/>
        <v>0.64581005586592188</v>
      </c>
      <c r="AY37" s="108">
        <f t="shared" si="82"/>
        <v>1.0669168230143842</v>
      </c>
      <c r="AZ37" s="108">
        <f t="shared" si="82"/>
        <v>0.45499383477188649</v>
      </c>
      <c r="BA37" s="108">
        <f t="shared" si="82"/>
        <v>0.52709611451942751</v>
      </c>
      <c r="BB37" s="108">
        <f t="shared" si="82"/>
        <v>0.12321792260692455</v>
      </c>
      <c r="BC37" s="108">
        <f t="shared" si="82"/>
        <v>-0.27352496217851741</v>
      </c>
      <c r="BD37" s="108">
        <f t="shared" si="82"/>
        <v>9.0677966101694985E-2</v>
      </c>
      <c r="BE37" s="108">
        <f t="shared" si="82"/>
        <v>-0.32105791764312019</v>
      </c>
      <c r="BF37" s="108">
        <f t="shared" si="82"/>
        <v>-0.40042308854638864</v>
      </c>
      <c r="BG37" s="108">
        <f t="shared" si="82"/>
        <v>-0.10453977509371093</v>
      </c>
      <c r="BH37" s="108">
        <f t="shared" si="82"/>
        <v>0.32983682983682994</v>
      </c>
      <c r="BI37" s="108">
        <f t="shared" si="82"/>
        <v>0.11341222879684421</v>
      </c>
      <c r="BJ37" s="108">
        <f t="shared" si="82"/>
        <v>-5.997983870967738E-2</v>
      </c>
      <c r="BK37" s="108">
        <f>+BK31/BG31-1</f>
        <v>0.11646664880553947</v>
      </c>
      <c r="BL37" s="108">
        <f t="shared" ref="BL37:BO37" si="85">+BL31/BH31-1</f>
        <v>-4.5354177390857897E-2</v>
      </c>
      <c r="BM37" s="108">
        <f t="shared" si="85"/>
        <v>-8.208963850537887E-2</v>
      </c>
      <c r="BN37" s="108">
        <f t="shared" si="85"/>
        <v>0.1237237277987</v>
      </c>
      <c r="BO37" s="108">
        <f t="shared" si="85"/>
        <v>6.2308627453548482E-2</v>
      </c>
      <c r="BP37" s="108"/>
      <c r="BQ37" s="108"/>
      <c r="BR37" s="108">
        <f t="shared" ref="BR37:CG37" si="86">+BR31/BQ31-1</f>
        <v>-0.34959349593495936</v>
      </c>
      <c r="BS37" s="108">
        <f t="shared" si="86"/>
        <v>0.125</v>
      </c>
      <c r="BT37" s="108">
        <f t="shared" si="86"/>
        <v>0.34444444444444455</v>
      </c>
      <c r="BU37" s="108">
        <f t="shared" si="86"/>
        <v>1.5950413223140494</v>
      </c>
      <c r="BV37" s="108">
        <f t="shared" si="86"/>
        <v>1.8407643312101909</v>
      </c>
      <c r="BW37" s="108">
        <f t="shared" si="86"/>
        <v>-0.12443946188340804</v>
      </c>
      <c r="BX37" s="108">
        <f t="shared" si="86"/>
        <v>0.24583866837387958</v>
      </c>
      <c r="BY37" s="108">
        <f t="shared" si="86"/>
        <v>0.33093525179856109</v>
      </c>
      <c r="BZ37" s="108">
        <f t="shared" si="86"/>
        <v>0.3374517374517374</v>
      </c>
      <c r="CA37" s="108">
        <f t="shared" si="86"/>
        <v>0.45323325635103928</v>
      </c>
      <c r="CB37" s="108">
        <f t="shared" si="86"/>
        <v>0.37147397695669437</v>
      </c>
      <c r="CC37" s="108">
        <f t="shared" si="86"/>
        <v>0.42381228273464666</v>
      </c>
      <c r="CD37" s="108">
        <f t="shared" si="86"/>
        <v>0.33570701932858604</v>
      </c>
      <c r="CE37" s="108">
        <f t="shared" si="86"/>
        <v>0.49718202589489713</v>
      </c>
      <c r="CF37" s="108">
        <f t="shared" si="86"/>
        <v>0.12493641265642497</v>
      </c>
      <c r="CG37" s="108">
        <f t="shared" si="86"/>
        <v>-0.20991227276838198</v>
      </c>
      <c r="CH37" s="108"/>
      <c r="CI37" s="108"/>
    </row>
    <row r="38" spans="2:87" s="76" customFormat="1" x14ac:dyDescent="0.2">
      <c r="B38" s="67" t="s">
        <v>290</v>
      </c>
      <c r="H38" s="106">
        <f t="shared" si="78"/>
        <v>1.1204819277108435</v>
      </c>
      <c r="I38" s="106">
        <f t="shared" si="78"/>
        <v>1.7254901960784315</v>
      </c>
      <c r="J38" s="106">
        <f t="shared" si="78"/>
        <v>1.5333333333333332</v>
      </c>
      <c r="K38" s="106">
        <f t="shared" si="78"/>
        <v>1.3333333333333335</v>
      </c>
      <c r="L38" s="106">
        <f t="shared" si="78"/>
        <v>1.2727272727272729</v>
      </c>
      <c r="M38" s="106">
        <f t="shared" si="78"/>
        <v>4.6115107913669062</v>
      </c>
      <c r="N38" s="106">
        <f t="shared" si="78"/>
        <v>0.85197368421052633</v>
      </c>
      <c r="O38" s="106">
        <f t="shared" si="78"/>
        <v>0.97619047619047628</v>
      </c>
      <c r="P38" s="106">
        <f t="shared" si="78"/>
        <v>0.67999999999999994</v>
      </c>
      <c r="Q38" s="106">
        <f t="shared" si="78"/>
        <v>-0.49615384615384617</v>
      </c>
      <c r="R38" s="106">
        <f t="shared" si="79"/>
        <v>0.37300177619893438</v>
      </c>
      <c r="S38" s="106">
        <f t="shared" si="79"/>
        <v>0.44728915662650603</v>
      </c>
      <c r="T38" s="106">
        <f t="shared" si="79"/>
        <v>0.43601190476190466</v>
      </c>
      <c r="U38" s="106">
        <f t="shared" si="79"/>
        <v>0.33206106870229002</v>
      </c>
      <c r="V38" s="106">
        <f t="shared" si="79"/>
        <v>0.60543337645536877</v>
      </c>
      <c r="W38" s="106">
        <f t="shared" si="79"/>
        <v>1.1488033298647244</v>
      </c>
      <c r="X38" s="106">
        <f t="shared" si="79"/>
        <v>1.0269430051813471</v>
      </c>
      <c r="Y38" s="106">
        <f t="shared" si="79"/>
        <v>1.0066857688634192</v>
      </c>
      <c r="Z38" s="106">
        <f t="shared" si="79"/>
        <v>0.87107171635777592</v>
      </c>
      <c r="AA38" s="106">
        <f t="shared" si="79"/>
        <v>0.18983050847457617</v>
      </c>
      <c r="AB38" s="106">
        <f t="shared" si="80"/>
        <v>0.29550102249488752</v>
      </c>
      <c r="AC38" s="106">
        <f t="shared" si="80"/>
        <v>0.32555925749643033</v>
      </c>
      <c r="AD38" s="106">
        <f t="shared" si="80"/>
        <v>0.25193798449612403</v>
      </c>
      <c r="AE38" s="106">
        <f t="shared" si="80"/>
        <v>0.30077330077330067</v>
      </c>
      <c r="AF38" s="106">
        <f t="shared" si="80"/>
        <v>0.39936858721389101</v>
      </c>
      <c r="AG38" s="106">
        <f t="shared" si="80"/>
        <v>0.32244165170556549</v>
      </c>
      <c r="AH38" s="106">
        <f t="shared" si="80"/>
        <v>0.29274165806673547</v>
      </c>
      <c r="AI38" s="106">
        <f t="shared" si="80"/>
        <v>0.25438047559449317</v>
      </c>
      <c r="AJ38" s="106">
        <f t="shared" si="80"/>
        <v>0.29441624365482233</v>
      </c>
      <c r="AK38" s="106">
        <f t="shared" si="80"/>
        <v>0.39940266087428733</v>
      </c>
      <c r="AL38" s="106">
        <f t="shared" si="81"/>
        <v>0.47099521021820112</v>
      </c>
      <c r="AM38" s="106">
        <f t="shared" si="81"/>
        <v>0.57096532801197308</v>
      </c>
      <c r="AN38" s="106">
        <f t="shared" si="81"/>
        <v>0.29498910675381262</v>
      </c>
      <c r="AO38" s="106">
        <f t="shared" si="81"/>
        <v>0.34904928211098185</v>
      </c>
      <c r="AP38" s="106">
        <f t="shared" si="81"/>
        <v>0.32272069464544129</v>
      </c>
      <c r="AQ38" s="106">
        <f t="shared" si="81"/>
        <v>0.29914258494760237</v>
      </c>
      <c r="AR38" s="106">
        <f t="shared" si="81"/>
        <v>0.41066621803499337</v>
      </c>
      <c r="AS38" s="106">
        <f t="shared" si="81"/>
        <v>0.27930389759815899</v>
      </c>
      <c r="AT38" s="106">
        <f t="shared" si="81"/>
        <v>0.26312910284463897</v>
      </c>
      <c r="AU38" s="106">
        <f t="shared" si="81"/>
        <v>0.23282815937423607</v>
      </c>
      <c r="AV38" s="106">
        <f t="shared" si="82"/>
        <v>0.15229576624925456</v>
      </c>
      <c r="AW38" s="106">
        <f t="shared" si="82"/>
        <v>0.27161326587970769</v>
      </c>
      <c r="AX38" s="106">
        <f t="shared" si="82"/>
        <v>0.38761368557817244</v>
      </c>
      <c r="AY38" s="106">
        <f t="shared" si="82"/>
        <v>0.46108852979081982</v>
      </c>
      <c r="AZ38" s="106">
        <f t="shared" si="82"/>
        <v>0.38470296004967919</v>
      </c>
      <c r="BA38" s="106">
        <f t="shared" si="82"/>
        <v>0.35019008045265676</v>
      </c>
      <c r="BB38" s="106">
        <f t="shared" si="82"/>
        <v>0.24485018726591767</v>
      </c>
      <c r="BC38" s="106">
        <f t="shared" si="82"/>
        <v>-2.9854797123083365E-3</v>
      </c>
      <c r="BD38" s="106">
        <f t="shared" si="82"/>
        <v>5.0601689214440526E-2</v>
      </c>
      <c r="BE38" s="106">
        <f t="shared" si="82"/>
        <v>-8.5254059717129405E-2</v>
      </c>
      <c r="BF38" s="106">
        <f t="shared" si="82"/>
        <v>-0.13369687852576162</v>
      </c>
      <c r="BG38" s="106">
        <f t="shared" si="82"/>
        <v>1.9259561725874397E-2</v>
      </c>
      <c r="BH38" s="106">
        <f t="shared" si="82"/>
        <v>0.12201195219123506</v>
      </c>
      <c r="BI38" s="106">
        <f t="shared" si="82"/>
        <v>0.11066571224051547</v>
      </c>
      <c r="BJ38" s="106">
        <f t="shared" si="82"/>
        <v>0.14781853700889958</v>
      </c>
      <c r="BK38" s="106">
        <f>+BK32/BG32-1</f>
        <v>0.1766457431349342</v>
      </c>
      <c r="BL38" s="106">
        <f t="shared" ref="BL38:BO38" si="87">+BL32/BH32-1</f>
        <v>0.13674926452292779</v>
      </c>
      <c r="BM38" s="106">
        <f t="shared" si="87"/>
        <v>0.1379042018725738</v>
      </c>
      <c r="BN38" s="106">
        <f t="shared" si="87"/>
        <v>0.16441973980992031</v>
      </c>
      <c r="BO38" s="106">
        <f t="shared" si="87"/>
        <v>0.14225546291755253</v>
      </c>
      <c r="BP38" s="106"/>
      <c r="BQ38" s="106"/>
      <c r="BR38" s="106">
        <f t="shared" ref="BR38:CI38" si="88">+BR32/BQ32-1</f>
        <v>-0.13983050847457623</v>
      </c>
      <c r="BS38" s="106">
        <f t="shared" si="88"/>
        <v>0.43842364532019706</v>
      </c>
      <c r="BT38" s="106">
        <f t="shared" si="88"/>
        <v>0.53767123287671237</v>
      </c>
      <c r="BU38" s="106">
        <f t="shared" si="88"/>
        <v>1.4365256124721602</v>
      </c>
      <c r="BV38" s="106">
        <f t="shared" si="88"/>
        <v>1.913162705667276</v>
      </c>
      <c r="BW38" s="106">
        <f t="shared" si="88"/>
        <v>1.5688735487919825E-3</v>
      </c>
      <c r="BX38" s="106">
        <f t="shared" si="88"/>
        <v>0.66604010025062665</v>
      </c>
      <c r="BY38" s="106">
        <f t="shared" si="88"/>
        <v>0.66152688980819851</v>
      </c>
      <c r="BZ38" s="106">
        <f t="shared" si="88"/>
        <v>0.29266636487098241</v>
      </c>
      <c r="CA38" s="106">
        <f t="shared" si="88"/>
        <v>0.31290492032918937</v>
      </c>
      <c r="CB38" s="106">
        <f t="shared" si="88"/>
        <v>0.43838356895172037</v>
      </c>
      <c r="CC38" s="106">
        <f t="shared" si="88"/>
        <v>0.31622624014835421</v>
      </c>
      <c r="CD38" s="106">
        <f t="shared" si="88"/>
        <v>0.2892465922299321</v>
      </c>
      <c r="CE38" s="106">
        <f t="shared" si="88"/>
        <v>0.32576564762451166</v>
      </c>
      <c r="CF38" s="106">
        <f t="shared" si="88"/>
        <v>0.22197951655779247</v>
      </c>
      <c r="CG38" s="106">
        <f t="shared" si="88"/>
        <v>-4.1737634698730153E-2</v>
      </c>
      <c r="CH38" s="106">
        <f t="shared" si="88"/>
        <v>0.13989904432866229</v>
      </c>
      <c r="CI38" s="106">
        <f t="shared" si="88"/>
        <v>0.14530086407516274</v>
      </c>
    </row>
    <row r="39" spans="2:87" s="76" customFormat="1" x14ac:dyDescent="0.2">
      <c r="B39" s="6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7"/>
      <c r="BH39" s="57"/>
      <c r="BI39" s="57"/>
      <c r="BJ39" s="57"/>
      <c r="BK39" s="57"/>
      <c r="BL39" s="57"/>
      <c r="BM39" s="57"/>
      <c r="BN39" s="57"/>
      <c r="BO39" s="57"/>
      <c r="BR39" s="57"/>
      <c r="BS39" s="57"/>
      <c r="BT39" s="57"/>
      <c r="BU39" s="57"/>
      <c r="BV39" s="57"/>
      <c r="BW39" s="57"/>
      <c r="BX39" s="57"/>
      <c r="BY39" s="57"/>
      <c r="BZ39" s="57"/>
      <c r="CA39" s="57"/>
      <c r="CB39" s="57"/>
      <c r="CC39" s="57"/>
      <c r="CD39" s="57"/>
      <c r="CE39" s="57"/>
      <c r="CF39" s="57"/>
      <c r="CG39" s="57"/>
      <c r="CH39" s="57"/>
      <c r="CI39" s="57"/>
    </row>
    <row r="40" spans="2:87" s="76" customFormat="1" x14ac:dyDescent="0.2">
      <c r="B40" s="89" t="s">
        <v>20</v>
      </c>
      <c r="H40" s="49"/>
      <c r="I40" s="49"/>
      <c r="J40" s="49"/>
      <c r="K40" s="49"/>
      <c r="L40" s="49"/>
      <c r="AB40" s="49"/>
      <c r="AC40" s="49"/>
      <c r="AD40" s="49"/>
      <c r="BU40" s="49"/>
    </row>
    <row r="41" spans="2:87" s="76" customFormat="1" x14ac:dyDescent="0.2">
      <c r="B41" s="101" t="s">
        <v>517</v>
      </c>
      <c r="D41" s="107">
        <f t="shared" ref="D41:AW41" si="89">+D29/D$9</f>
        <v>7.2463768115942032E-2</v>
      </c>
      <c r="E41" s="107">
        <f t="shared" si="89"/>
        <v>7.4245939675174011E-2</v>
      </c>
      <c r="F41" s="107">
        <f t="shared" si="89"/>
        <v>8.7794432548179868E-2</v>
      </c>
      <c r="G41" s="107">
        <f t="shared" si="89"/>
        <v>6.1559507523939808E-2</v>
      </c>
      <c r="H41" s="107">
        <f t="shared" si="89"/>
        <v>7.7975376196990423E-2</v>
      </c>
      <c r="I41" s="107">
        <f t="shared" si="89"/>
        <v>0.1106145251396648</v>
      </c>
      <c r="J41" s="107">
        <f t="shared" si="89"/>
        <v>0.11320754716981132</v>
      </c>
      <c r="K41" s="107">
        <f t="shared" si="89"/>
        <v>0.10963748894783377</v>
      </c>
      <c r="L41" s="107">
        <f t="shared" si="89"/>
        <v>0.14461247637051039</v>
      </c>
      <c r="M41" s="107">
        <f t="shared" si="89"/>
        <v>0.59543918918918914</v>
      </c>
      <c r="N41" s="107">
        <f t="shared" si="89"/>
        <v>0.19334389857369255</v>
      </c>
      <c r="O41" s="107">
        <f t="shared" si="89"/>
        <v>0.18738170347003155</v>
      </c>
      <c r="P41" s="107">
        <f t="shared" si="89"/>
        <v>0.20096021947873799</v>
      </c>
      <c r="Q41" s="107">
        <f t="shared" si="89"/>
        <v>0.18974076116933261</v>
      </c>
      <c r="R41" s="107">
        <f t="shared" si="89"/>
        <v>0.18303571428571427</v>
      </c>
      <c r="S41" s="107">
        <f t="shared" si="89"/>
        <v>0.15783365570599614</v>
      </c>
      <c r="T41" s="107">
        <f t="shared" si="89"/>
        <v>0.18185451638689049</v>
      </c>
      <c r="U41" s="107">
        <f t="shared" si="89"/>
        <v>0.16907216494845362</v>
      </c>
      <c r="V41" s="107">
        <f t="shared" si="89"/>
        <v>0.18982204183577897</v>
      </c>
      <c r="W41" s="107">
        <f t="shared" si="89"/>
        <v>0.28849649441703451</v>
      </c>
      <c r="X41" s="107">
        <f t="shared" si="89"/>
        <v>0.29974597798475866</v>
      </c>
      <c r="Y41" s="107">
        <f t="shared" si="89"/>
        <v>0.28946066303809997</v>
      </c>
      <c r="Z41" s="107">
        <f t="shared" si="89"/>
        <v>0.28238169295712062</v>
      </c>
      <c r="AA41" s="107">
        <f t="shared" si="89"/>
        <v>0.22496147919876733</v>
      </c>
      <c r="AB41" s="107">
        <f t="shared" si="89"/>
        <v>0.24953548866592346</v>
      </c>
      <c r="AC41" s="107">
        <f t="shared" si="89"/>
        <v>0.22855811062771908</v>
      </c>
      <c r="AD41" s="107">
        <f t="shared" si="89"/>
        <v>0.21994009413778348</v>
      </c>
      <c r="AE41" s="107">
        <f t="shared" si="89"/>
        <v>0.17743217164263822</v>
      </c>
      <c r="AF41" s="107">
        <f t="shared" si="89"/>
        <v>0.22833665338645417</v>
      </c>
      <c r="AG41" s="107">
        <f t="shared" si="89"/>
        <v>0.20587919751099668</v>
      </c>
      <c r="AH41" s="107">
        <f t="shared" si="89"/>
        <v>0.19868319132455461</v>
      </c>
      <c r="AI41" s="107">
        <f t="shared" si="89"/>
        <v>0.15024668516805428</v>
      </c>
      <c r="AJ41" s="107">
        <f t="shared" si="89"/>
        <v>0.18702991810128697</v>
      </c>
      <c r="AK41" s="107">
        <f t="shared" si="89"/>
        <v>0.19068853450230519</v>
      </c>
      <c r="AL41" s="107">
        <f t="shared" si="89"/>
        <v>0.19356013695636337</v>
      </c>
      <c r="AM41" s="107">
        <f t="shared" si="89"/>
        <v>0.16879508099798984</v>
      </c>
      <c r="AN41" s="107">
        <f t="shared" si="89"/>
        <v>0.1896929097300524</v>
      </c>
      <c r="AO41" s="107">
        <f t="shared" si="89"/>
        <v>0.19631647518654508</v>
      </c>
      <c r="AP41" s="107">
        <f t="shared" si="89"/>
        <v>0.20099705415816904</v>
      </c>
      <c r="AQ41" s="107">
        <f t="shared" si="89"/>
        <v>0.1839009581633621</v>
      </c>
      <c r="AR41" s="107">
        <f t="shared" si="89"/>
        <v>0.22636297006258105</v>
      </c>
      <c r="AS41" s="107">
        <f t="shared" si="89"/>
        <v>0.23877561941456626</v>
      </c>
      <c r="AT41" s="107">
        <f t="shared" si="89"/>
        <v>0.22184443409408477</v>
      </c>
      <c r="AU41" s="107">
        <f t="shared" si="89"/>
        <v>0.18552294100883443</v>
      </c>
      <c r="AV41" s="107">
        <f t="shared" si="89"/>
        <v>0.19857857934354819</v>
      </c>
      <c r="AW41" s="107">
        <f t="shared" si="89"/>
        <v>0.2096502390205317</v>
      </c>
      <c r="AX41" s="107">
        <f t="shared" ref="AX41:BK41" si="90">+AX29/AX$9</f>
        <v>0.21771802826611514</v>
      </c>
      <c r="AY41" s="107">
        <f t="shared" si="90"/>
        <v>0.20926019423242553</v>
      </c>
      <c r="AZ41" s="107">
        <f t="shared" si="90"/>
        <v>0.27615737422961156</v>
      </c>
      <c r="BA41" s="107">
        <f t="shared" si="90"/>
        <v>0.30150579418499757</v>
      </c>
      <c r="BB41" s="107">
        <f t="shared" si="90"/>
        <v>0.32254456231507539</v>
      </c>
      <c r="BC41" s="107">
        <f t="shared" si="90"/>
        <v>0.25751593346805535</v>
      </c>
      <c r="BD41" s="107">
        <f t="shared" si="90"/>
        <v>0.29942398324314889</v>
      </c>
      <c r="BE41" s="107">
        <f t="shared" si="90"/>
        <v>0.28279008719022469</v>
      </c>
      <c r="BF41" s="107">
        <f t="shared" si="90"/>
        <v>0.26600480290517192</v>
      </c>
      <c r="BG41" s="107">
        <f t="shared" si="90"/>
        <v>0.24379845927551047</v>
      </c>
      <c r="BH41" s="107">
        <f t="shared" si="90"/>
        <v>0.26934576875600053</v>
      </c>
      <c r="BI41" s="107">
        <f t="shared" si="90"/>
        <v>0.26968851577896652</v>
      </c>
      <c r="BJ41" s="107">
        <f t="shared" ref="BJ41" si="91">+BJ29/BJ$9</f>
        <v>0.27537017418512405</v>
      </c>
      <c r="BK41" s="107">
        <f t="shared" si="90"/>
        <v>0.25466969128891326</v>
      </c>
      <c r="BL41" s="107">
        <f t="shared" ref="BL41:BO41" si="92">+BL29/BL$9</f>
        <v>0.29011464907042195</v>
      </c>
      <c r="BM41" s="107">
        <f t="shared" si="92"/>
        <v>0.2860605548552399</v>
      </c>
      <c r="BN41" s="107">
        <f t="shared" si="92"/>
        <v>0.2914401000442039</v>
      </c>
      <c r="BO41" s="107">
        <f t="shared" si="92"/>
        <v>0.26372130255005533</v>
      </c>
      <c r="BP41" s="107"/>
      <c r="BQ41" s="107">
        <f t="shared" ref="BQ41:CD41" si="93">+BQ29/BQ$9</f>
        <v>0.52941176470588236</v>
      </c>
      <c r="BR41" s="107">
        <f t="shared" si="93"/>
        <v>0.17279411764705882</v>
      </c>
      <c r="BS41" s="107">
        <f t="shared" si="93"/>
        <v>0.11196911196911197</v>
      </c>
      <c r="BT41" s="107">
        <f t="shared" si="93"/>
        <v>7.29483282674772E-2</v>
      </c>
      <c r="BU41" s="107">
        <f t="shared" si="93"/>
        <v>0.10455402856372946</v>
      </c>
      <c r="BV41" s="107">
        <f t="shared" si="93"/>
        <v>0.27490666142660641</v>
      </c>
      <c r="BW41" s="107">
        <f t="shared" si="93"/>
        <v>0.1796239837398374</v>
      </c>
      <c r="BX41" s="107">
        <f t="shared" si="93"/>
        <v>0.21386170383442965</v>
      </c>
      <c r="BY41" s="107">
        <f t="shared" si="93"/>
        <v>0.26870084230490321</v>
      </c>
      <c r="BZ41" s="107">
        <f t="shared" si="93"/>
        <v>0.21416166148057023</v>
      </c>
      <c r="CA41" s="107">
        <f t="shared" si="93"/>
        <v>0.19073623102846038</v>
      </c>
      <c r="CB41" s="107">
        <f t="shared" si="93"/>
        <v>0.18397865253053475</v>
      </c>
      <c r="CC41" s="107">
        <f t="shared" si="93"/>
        <v>0.19237025616362788</v>
      </c>
      <c r="CD41" s="107">
        <f t="shared" si="93"/>
        <v>0.21459646837121651</v>
      </c>
      <c r="CE41" s="107">
        <f t="shared" ref="CE41:CG44" si="94">+CE29/CE$9</f>
        <v>0.20906647219937419</v>
      </c>
      <c r="CF41" s="107">
        <f t="shared" si="94"/>
        <v>0.28830536236482607</v>
      </c>
      <c r="CG41" s="107">
        <f t="shared" si="94"/>
        <v>0.27047983335927828</v>
      </c>
      <c r="CH41" s="107"/>
      <c r="CI41" s="107"/>
    </row>
    <row r="42" spans="2:87" s="76" customFormat="1" x14ac:dyDescent="0.2">
      <c r="B42" s="101" t="s">
        <v>518</v>
      </c>
      <c r="D42" s="107">
        <f t="shared" ref="D42:AW42" si="95">+D30/D$9</f>
        <v>0.10434782608695652</v>
      </c>
      <c r="E42" s="107">
        <f t="shared" si="95"/>
        <v>0.10208816705336426</v>
      </c>
      <c r="F42" s="107">
        <f t="shared" si="95"/>
        <v>9.6359743040685231E-2</v>
      </c>
      <c r="G42" s="107">
        <f t="shared" si="95"/>
        <v>8.0711354309165526E-2</v>
      </c>
      <c r="H42" s="107">
        <f t="shared" si="95"/>
        <v>8.4815321477428179E-2</v>
      </c>
      <c r="I42" s="107">
        <f t="shared" si="95"/>
        <v>0.10726256983240223</v>
      </c>
      <c r="J42" s="107">
        <f t="shared" si="95"/>
        <v>0.11949685534591195</v>
      </c>
      <c r="K42" s="107">
        <f t="shared" si="95"/>
        <v>0.10610079575596817</v>
      </c>
      <c r="L42" s="107">
        <f t="shared" si="95"/>
        <v>0.13516068052930058</v>
      </c>
      <c r="M42" s="107">
        <f t="shared" si="95"/>
        <v>0.33108108108108109</v>
      </c>
      <c r="N42" s="107">
        <f t="shared" si="95"/>
        <v>0.13312202852614896</v>
      </c>
      <c r="O42" s="107">
        <f t="shared" si="95"/>
        <v>0.12176656151419558</v>
      </c>
      <c r="P42" s="107">
        <f t="shared" si="95"/>
        <v>0.1392318244170096</v>
      </c>
      <c r="Q42" s="107">
        <f t="shared" si="95"/>
        <v>0.14837286265857694</v>
      </c>
      <c r="R42" s="107">
        <f t="shared" si="95"/>
        <v>0.11557539682539683</v>
      </c>
      <c r="S42" s="107">
        <f t="shared" si="95"/>
        <v>0.11295938104448743</v>
      </c>
      <c r="T42" s="107">
        <f t="shared" si="95"/>
        <v>0.12909672262190247</v>
      </c>
      <c r="U42" s="107">
        <f t="shared" si="95"/>
        <v>0.12302405498281786</v>
      </c>
      <c r="V42" s="107">
        <f t="shared" si="95"/>
        <v>0.11676553231345614</v>
      </c>
      <c r="W42" s="107">
        <f t="shared" si="95"/>
        <v>0.16203583484809139</v>
      </c>
      <c r="X42" s="107">
        <f t="shared" si="95"/>
        <v>0.17499294383290998</v>
      </c>
      <c r="Y42" s="107">
        <f t="shared" si="95"/>
        <v>0.15487382483918852</v>
      </c>
      <c r="Z42" s="107">
        <f t="shared" si="95"/>
        <v>0.15685403243723617</v>
      </c>
      <c r="AA42" s="107">
        <f t="shared" si="95"/>
        <v>0.13216914911830166</v>
      </c>
      <c r="AB42" s="107">
        <f t="shared" si="95"/>
        <v>0.15347454477889261</v>
      </c>
      <c r="AC42" s="107">
        <f t="shared" si="95"/>
        <v>0.13999378495960224</v>
      </c>
      <c r="AD42" s="107">
        <f t="shared" si="95"/>
        <v>0.13207816288689203</v>
      </c>
      <c r="AE42" s="107">
        <f t="shared" si="95"/>
        <v>0.12691565444431832</v>
      </c>
      <c r="AF42" s="107">
        <f t="shared" si="95"/>
        <v>0.13159860557768924</v>
      </c>
      <c r="AG42" s="107">
        <f t="shared" si="95"/>
        <v>0.12058791975109967</v>
      </c>
      <c r="AH42" s="107">
        <f t="shared" si="95"/>
        <v>0.11328427575522851</v>
      </c>
      <c r="AI42" s="107">
        <f t="shared" si="95"/>
        <v>0.1059204440333025</v>
      </c>
      <c r="AJ42" s="107">
        <f t="shared" si="95"/>
        <v>0.13329433394618084</v>
      </c>
      <c r="AK42" s="107">
        <f t="shared" si="95"/>
        <v>0.14020104300506386</v>
      </c>
      <c r="AL42" s="107">
        <f t="shared" si="95"/>
        <v>0.14045312158519704</v>
      </c>
      <c r="AM42" s="107">
        <f t="shared" si="95"/>
        <v>0.14585550431595129</v>
      </c>
      <c r="AN42" s="107">
        <f t="shared" si="95"/>
        <v>0.13397890827087616</v>
      </c>
      <c r="AO42" s="107">
        <f t="shared" si="95"/>
        <v>0.14295866398199691</v>
      </c>
      <c r="AP42" s="107">
        <f t="shared" si="95"/>
        <v>0.13686834353047814</v>
      </c>
      <c r="AQ42" s="107">
        <f t="shared" si="95"/>
        <v>0.14353476899724885</v>
      </c>
      <c r="AR42" s="107">
        <f t="shared" si="95"/>
        <v>0.15712916502226984</v>
      </c>
      <c r="AS42" s="107">
        <f t="shared" si="95"/>
        <v>0.15197731042971049</v>
      </c>
      <c r="AT42" s="107">
        <f t="shared" si="95"/>
        <v>0.12496506753609687</v>
      </c>
      <c r="AU42" s="107">
        <f t="shared" si="95"/>
        <v>0.11684240524365916</v>
      </c>
      <c r="AV42" s="107">
        <f t="shared" si="95"/>
        <v>0.10863169156700164</v>
      </c>
      <c r="AW42" s="107">
        <f t="shared" si="95"/>
        <v>0.1120817140695395</v>
      </c>
      <c r="AX42" s="107">
        <f t="shared" ref="AX42:BK42" si="96">+AX30/AX$9</f>
        <v>0.1225094794898311</v>
      </c>
      <c r="AY42" s="107">
        <f t="shared" si="96"/>
        <v>0.13029016067238872</v>
      </c>
      <c r="AZ42" s="107">
        <f t="shared" si="96"/>
        <v>0.11867564855955282</v>
      </c>
      <c r="BA42" s="107">
        <f t="shared" si="96"/>
        <v>0.12473110818125044</v>
      </c>
      <c r="BB42" s="107">
        <f t="shared" si="96"/>
        <v>0.13372302807245434</v>
      </c>
      <c r="BC42" s="107">
        <f t="shared" si="96"/>
        <v>0.12466967200373076</v>
      </c>
      <c r="BD42" s="107">
        <f t="shared" si="96"/>
        <v>0.1014138593122709</v>
      </c>
      <c r="BE42" s="107">
        <f t="shared" si="96"/>
        <v>9.0409075283602619E-2</v>
      </c>
      <c r="BF42" s="107">
        <f t="shared" si="96"/>
        <v>8.0653663679493934E-2</v>
      </c>
      <c r="BG42" s="107">
        <f t="shared" si="96"/>
        <v>7.5989130163795465E-2</v>
      </c>
      <c r="BH42" s="107">
        <f t="shared" si="96"/>
        <v>6.9373199835413527E-2</v>
      </c>
      <c r="BI42" s="107">
        <f t="shared" si="96"/>
        <v>6.9642445803793099E-2</v>
      </c>
      <c r="BJ42" s="107">
        <f t="shared" ref="BJ42" si="97">+BJ30/BJ$9</f>
        <v>6.9526226317475182E-2</v>
      </c>
      <c r="BK42" s="107">
        <f t="shared" si="96"/>
        <v>7.0268665086317142E-2</v>
      </c>
      <c r="BL42" s="107">
        <f t="shared" ref="BL42:BO42" si="98">+BL30/BL$9</f>
        <v>6.4922803092452325E-2</v>
      </c>
      <c r="BM42" s="107">
        <f t="shared" si="98"/>
        <v>6.6483220345923605E-2</v>
      </c>
      <c r="BN42" s="107">
        <f t="shared" si="98"/>
        <v>6.7400109538718861E-2</v>
      </c>
      <c r="BO42" s="107">
        <f t="shared" si="98"/>
        <v>6.8412660002176134E-2</v>
      </c>
      <c r="BP42" s="107"/>
      <c r="BQ42" s="107">
        <f t="shared" ref="BQ42:CD42" si="99">+BQ30/BQ$9</f>
        <v>0.20915032679738563</v>
      </c>
      <c r="BR42" s="107">
        <f t="shared" si="99"/>
        <v>0.27941176470588236</v>
      </c>
      <c r="BS42" s="107">
        <f t="shared" si="99"/>
        <v>0.148005148005148</v>
      </c>
      <c r="BT42" s="107">
        <f t="shared" si="99"/>
        <v>9.3211752786220875E-2</v>
      </c>
      <c r="BU42" s="107">
        <f t="shared" si="99"/>
        <v>0.10563190514686069</v>
      </c>
      <c r="BV42" s="107">
        <f t="shared" si="99"/>
        <v>0.17606602475928473</v>
      </c>
      <c r="BW42" s="107">
        <f t="shared" si="99"/>
        <v>0.12665142276422764</v>
      </c>
      <c r="BX42" s="107">
        <f t="shared" si="99"/>
        <v>0.13468634686346864</v>
      </c>
      <c r="BY42" s="107">
        <f t="shared" si="99"/>
        <v>0.15194957326937023</v>
      </c>
      <c r="BZ42" s="107">
        <f t="shared" si="99"/>
        <v>0.13644257905781895</v>
      </c>
      <c r="CA42" s="107">
        <f t="shared" si="99"/>
        <v>0.1162275846800974</v>
      </c>
      <c r="CB42" s="107">
        <f t="shared" si="99"/>
        <v>0.14049571976073641</v>
      </c>
      <c r="CC42" s="107">
        <f t="shared" si="99"/>
        <v>0.139694753667058</v>
      </c>
      <c r="CD42" s="107">
        <f t="shared" si="99"/>
        <v>0.13482074308447525</v>
      </c>
      <c r="CE42" s="107">
        <f t="shared" si="94"/>
        <v>0.11908012448167965</v>
      </c>
      <c r="CF42" s="107">
        <f t="shared" si="94"/>
        <v>0.12540198440943667</v>
      </c>
      <c r="CG42" s="107">
        <f t="shared" si="94"/>
        <v>8.5988984514569947E-2</v>
      </c>
      <c r="CH42" s="107"/>
      <c r="CI42" s="107"/>
    </row>
    <row r="43" spans="2:87" s="76" customFormat="1" ht="13.5" x14ac:dyDescent="0.35">
      <c r="B43" s="101" t="s">
        <v>519</v>
      </c>
      <c r="D43" s="109">
        <f t="shared" ref="D43:AW43" si="100">+D31/D$9</f>
        <v>6.3768115942028983E-2</v>
      </c>
      <c r="E43" s="109">
        <f t="shared" si="100"/>
        <v>6.0324825986078884E-2</v>
      </c>
      <c r="F43" s="109">
        <f t="shared" si="100"/>
        <v>7.2805139186295498E-2</v>
      </c>
      <c r="G43" s="109">
        <f t="shared" si="100"/>
        <v>5.4719562243502051E-2</v>
      </c>
      <c r="H43" s="109">
        <f t="shared" si="100"/>
        <v>7.7975376196990423E-2</v>
      </c>
      <c r="I43" s="109">
        <f t="shared" si="100"/>
        <v>9.2737430167597765E-2</v>
      </c>
      <c r="J43" s="109">
        <f t="shared" si="100"/>
        <v>8.5953878406708595E-2</v>
      </c>
      <c r="K43" s="109">
        <f t="shared" si="100"/>
        <v>8.1343943412908931E-2</v>
      </c>
      <c r="L43" s="109">
        <f t="shared" si="100"/>
        <v>9.8298676748582225E-2</v>
      </c>
      <c r="M43" s="109">
        <f t="shared" si="100"/>
        <v>0.39104729729729731</v>
      </c>
      <c r="N43" s="109">
        <f t="shared" si="100"/>
        <v>0.1196513470681458</v>
      </c>
      <c r="O43" s="109">
        <f t="shared" si="100"/>
        <v>0.10977917981072555</v>
      </c>
      <c r="P43" s="109">
        <f t="shared" si="100"/>
        <v>0.12071330589849108</v>
      </c>
      <c r="Q43" s="109">
        <f t="shared" si="100"/>
        <v>9.5421952564809703E-2</v>
      </c>
      <c r="R43" s="109">
        <f t="shared" si="100"/>
        <v>8.4821428571428575E-2</v>
      </c>
      <c r="S43" s="109">
        <f t="shared" si="100"/>
        <v>0.10096711798839458</v>
      </c>
      <c r="T43" s="109">
        <f t="shared" si="100"/>
        <v>7.4740207833733016E-2</v>
      </c>
      <c r="U43" s="109">
        <f t="shared" si="100"/>
        <v>6.7697594501718208E-2</v>
      </c>
      <c r="V43" s="109">
        <f t="shared" si="100"/>
        <v>8.0861692163596621E-2</v>
      </c>
      <c r="W43" s="109">
        <f t="shared" si="100"/>
        <v>8.5692028044663721E-2</v>
      </c>
      <c r="X43" s="109">
        <f t="shared" si="100"/>
        <v>7.7335591306802148E-2</v>
      </c>
      <c r="Y43" s="109">
        <f t="shared" si="100"/>
        <v>7.5457694210786741E-2</v>
      </c>
      <c r="Z43" s="109">
        <f t="shared" si="100"/>
        <v>7.6649633414796706E-2</v>
      </c>
      <c r="AA43" s="109">
        <f t="shared" si="100"/>
        <v>6.3516521143639787E-2</v>
      </c>
      <c r="AB43" s="109">
        <f t="shared" si="100"/>
        <v>6.7818654775176512E-2</v>
      </c>
      <c r="AC43" s="109">
        <f t="shared" si="100"/>
        <v>6.4170292106898688E-2</v>
      </c>
      <c r="AD43" s="109">
        <f t="shared" si="100"/>
        <v>6.2615889316787909E-2</v>
      </c>
      <c r="AE43" s="109">
        <f t="shared" si="100"/>
        <v>5.8462935634010671E-2</v>
      </c>
      <c r="AF43" s="109">
        <f t="shared" si="100"/>
        <v>8.1548804780876491E-2</v>
      </c>
      <c r="AG43" s="109">
        <f t="shared" si="100"/>
        <v>6.8662160712369913E-2</v>
      </c>
      <c r="AH43" s="109">
        <f t="shared" si="100"/>
        <v>5.1897753679318356E-2</v>
      </c>
      <c r="AI43" s="109">
        <f t="shared" si="100"/>
        <v>5.2883132901634287E-2</v>
      </c>
      <c r="AJ43" s="109">
        <f t="shared" si="100"/>
        <v>6.3262577302356682E-2</v>
      </c>
      <c r="AK43" s="109">
        <f t="shared" si="100"/>
        <v>5.865013982314262E-2</v>
      </c>
      <c r="AL43" s="109">
        <f t="shared" si="100"/>
        <v>6.8696729074087567E-2</v>
      </c>
      <c r="AM43" s="109">
        <f t="shared" si="100"/>
        <v>5.7703677426983561E-2</v>
      </c>
      <c r="AN43" s="109">
        <f t="shared" si="100"/>
        <v>7.057106851495655E-2</v>
      </c>
      <c r="AO43" s="109">
        <f t="shared" si="100"/>
        <v>7.2486083145801253E-2</v>
      </c>
      <c r="AP43" s="109">
        <f t="shared" si="100"/>
        <v>7.6365284387038296E-2</v>
      </c>
      <c r="AQ43" s="109">
        <f t="shared" si="100"/>
        <v>6.0667868323688458E-2</v>
      </c>
      <c r="AR43" s="109">
        <f t="shared" si="100"/>
        <v>8.9248463663528219E-2</v>
      </c>
      <c r="AS43" s="109">
        <f t="shared" si="100"/>
        <v>8.5246427998073526E-2</v>
      </c>
      <c r="AT43" s="109">
        <f t="shared" si="100"/>
        <v>8.3372147182114581E-2</v>
      </c>
      <c r="AU43" s="109">
        <f t="shared" si="100"/>
        <v>5.6960672556283842E-2</v>
      </c>
      <c r="AV43" s="109">
        <f t="shared" si="100"/>
        <v>6.1976997439914409E-2</v>
      </c>
      <c r="AW43" s="109">
        <f t="shared" si="100"/>
        <v>6.7269663307769026E-2</v>
      </c>
      <c r="AX43" s="109">
        <f t="shared" ref="AX43:BK43" si="101">+AX31/AX$9</f>
        <v>0.10155118924508789</v>
      </c>
      <c r="AY43" s="109">
        <f t="shared" si="101"/>
        <v>9.8155682931899857E-2</v>
      </c>
      <c r="AZ43" s="109">
        <f t="shared" si="101"/>
        <v>8.4563566002579901E-2</v>
      </c>
      <c r="BA43" s="109">
        <f t="shared" si="101"/>
        <v>0.1036361113038651</v>
      </c>
      <c r="BB43" s="109">
        <f t="shared" si="101"/>
        <v>0.11939813812513531</v>
      </c>
      <c r="BC43" s="109">
        <f t="shared" si="101"/>
        <v>7.4646354733405876E-2</v>
      </c>
      <c r="BD43" s="109">
        <f t="shared" si="101"/>
        <v>8.9858614068772907E-2</v>
      </c>
      <c r="BE43" s="109">
        <f t="shared" si="101"/>
        <v>6.3376980530641586E-2</v>
      </c>
      <c r="BF43" s="109">
        <f t="shared" si="101"/>
        <v>5.8103438177238918E-2</v>
      </c>
      <c r="BG43" s="109">
        <f t="shared" si="101"/>
        <v>5.3601256513175939E-2</v>
      </c>
      <c r="BH43" s="109">
        <f t="shared" si="101"/>
        <v>9.3896584830613083E-2</v>
      </c>
      <c r="BI43" s="109">
        <f t="shared" si="101"/>
        <v>5.7792224411967956E-2</v>
      </c>
      <c r="BJ43" s="109">
        <f t="shared" ref="BJ43" si="102">+BJ31/BJ$9</f>
        <v>4.5948409667643943E-2</v>
      </c>
      <c r="BK43" s="109">
        <f t="shared" si="101"/>
        <v>5.1239773258622084E-2</v>
      </c>
      <c r="BL43" s="109">
        <f t="shared" ref="BL43:BO43" si="103">+BL31/BL$9</f>
        <v>7.913921600086142E-2</v>
      </c>
      <c r="BM43" s="109">
        <f t="shared" si="103"/>
        <v>4.6890402473878857E-2</v>
      </c>
      <c r="BN43" s="109">
        <f t="shared" si="103"/>
        <v>4.5921438329644411E-2</v>
      </c>
      <c r="BO43" s="109">
        <f t="shared" si="103"/>
        <v>4.817702701710825E-2</v>
      </c>
      <c r="BP43" s="109"/>
      <c r="BQ43" s="109">
        <f t="shared" ref="BQ43:CD43" si="104">+BQ31/BQ$9</f>
        <v>0.80392156862745101</v>
      </c>
      <c r="BR43" s="109">
        <f t="shared" si="104"/>
        <v>0.29411764705882354</v>
      </c>
      <c r="BS43" s="109">
        <f t="shared" si="104"/>
        <v>0.11583011583011583</v>
      </c>
      <c r="BT43" s="109">
        <f t="shared" si="104"/>
        <v>6.1296859169199594E-2</v>
      </c>
      <c r="BU43" s="109">
        <f t="shared" si="104"/>
        <v>8.461331177580167E-2</v>
      </c>
      <c r="BV43" s="109">
        <f t="shared" si="104"/>
        <v>0.17528001572018079</v>
      </c>
      <c r="BW43" s="109">
        <f t="shared" si="104"/>
        <v>9.921239837398374E-2</v>
      </c>
      <c r="BX43" s="109">
        <f t="shared" si="104"/>
        <v>7.8052302262153053E-2</v>
      </c>
      <c r="BY43" s="109">
        <f t="shared" si="104"/>
        <v>7.2237407262787975E-2</v>
      </c>
      <c r="BZ43" s="109">
        <f t="shared" si="104"/>
        <v>6.2667342065272455E-2</v>
      </c>
      <c r="CA43" s="109">
        <f t="shared" si="104"/>
        <v>6.1914249870858237E-2</v>
      </c>
      <c r="CB43" s="109">
        <f t="shared" si="104"/>
        <v>6.1821698484902751E-2</v>
      </c>
      <c r="CC43" s="109">
        <f t="shared" si="104"/>
        <v>6.952204478266405E-2</v>
      </c>
      <c r="CD43" s="109">
        <f t="shared" si="104"/>
        <v>7.6367401065537535E-2</v>
      </c>
      <c r="CE43" s="109">
        <f t="shared" si="94"/>
        <v>8.3346759490880107E-2</v>
      </c>
      <c r="CF43" s="109">
        <f t="shared" si="94"/>
        <v>9.4821154456345563E-2</v>
      </c>
      <c r="CG43" s="109">
        <f t="shared" si="94"/>
        <v>6.4758600751662329E-2</v>
      </c>
      <c r="CH43" s="109"/>
      <c r="CI43" s="109"/>
    </row>
    <row r="44" spans="2:87" s="76" customFormat="1" x14ac:dyDescent="0.2">
      <c r="B44" s="67" t="s">
        <v>290</v>
      </c>
      <c r="D44" s="107">
        <f t="shared" ref="D44:AW44" si="105">+D32/D$9</f>
        <v>0.24057971014492754</v>
      </c>
      <c r="E44" s="107">
        <f t="shared" si="105"/>
        <v>0.23665893271461716</v>
      </c>
      <c r="F44" s="107">
        <f t="shared" si="105"/>
        <v>0.2569593147751606</v>
      </c>
      <c r="G44" s="107">
        <f t="shared" si="105"/>
        <v>0.19699042407660738</v>
      </c>
      <c r="H44" s="107">
        <f t="shared" si="105"/>
        <v>0.24076607387140903</v>
      </c>
      <c r="I44" s="107">
        <f t="shared" si="105"/>
        <v>0.31061452513966481</v>
      </c>
      <c r="J44" s="107">
        <f t="shared" si="105"/>
        <v>0.31865828092243187</v>
      </c>
      <c r="K44" s="107">
        <f t="shared" si="105"/>
        <v>0.29708222811671087</v>
      </c>
      <c r="L44" s="107">
        <f t="shared" si="105"/>
        <v>0.3780718336483932</v>
      </c>
      <c r="M44" s="107">
        <f t="shared" si="105"/>
        <v>1.3175675675675675</v>
      </c>
      <c r="N44" s="107">
        <f t="shared" si="105"/>
        <v>0.4461172741679873</v>
      </c>
      <c r="O44" s="107">
        <f t="shared" si="105"/>
        <v>0.4189274447949527</v>
      </c>
      <c r="P44" s="107">
        <f t="shared" si="105"/>
        <v>0.46090534979423869</v>
      </c>
      <c r="Q44" s="107">
        <f t="shared" si="105"/>
        <v>0.43353557639271922</v>
      </c>
      <c r="R44" s="107">
        <f t="shared" si="105"/>
        <v>0.38343253968253971</v>
      </c>
      <c r="S44" s="107">
        <f t="shared" si="105"/>
        <v>0.37176015473887813</v>
      </c>
      <c r="T44" s="107">
        <f t="shared" si="105"/>
        <v>0.38569144684252599</v>
      </c>
      <c r="U44" s="107">
        <f t="shared" si="105"/>
        <v>0.35979381443298969</v>
      </c>
      <c r="V44" s="107">
        <f t="shared" si="105"/>
        <v>0.38744926631283172</v>
      </c>
      <c r="W44" s="107">
        <f t="shared" si="105"/>
        <v>0.53622435730978968</v>
      </c>
      <c r="X44" s="107">
        <f t="shared" si="105"/>
        <v>0.55207451312447076</v>
      </c>
      <c r="Y44" s="107">
        <f t="shared" si="105"/>
        <v>0.51979218208807521</v>
      </c>
      <c r="Z44" s="107">
        <f t="shared" si="105"/>
        <v>0.51588535880915354</v>
      </c>
      <c r="AA44" s="107">
        <f t="shared" si="105"/>
        <v>0.4206471494607088</v>
      </c>
      <c r="AB44" s="107">
        <f t="shared" si="105"/>
        <v>0.47082868821999257</v>
      </c>
      <c r="AC44" s="107">
        <f t="shared" si="105"/>
        <v>0.43272218769422</v>
      </c>
      <c r="AD44" s="107">
        <f t="shared" si="105"/>
        <v>0.41463414634146339</v>
      </c>
      <c r="AE44" s="107">
        <f t="shared" si="105"/>
        <v>0.36281076172096721</v>
      </c>
      <c r="AF44" s="107">
        <f t="shared" si="105"/>
        <v>0.44148406374501992</v>
      </c>
      <c r="AG44" s="107">
        <f t="shared" si="105"/>
        <v>0.39512927797446629</v>
      </c>
      <c r="AH44" s="107">
        <f t="shared" si="105"/>
        <v>0.36386522075910149</v>
      </c>
      <c r="AI44" s="107">
        <f t="shared" si="105"/>
        <v>0.30905026210299108</v>
      </c>
      <c r="AJ44" s="107">
        <f t="shared" si="105"/>
        <v>0.38358682934982452</v>
      </c>
      <c r="AK44" s="107">
        <f t="shared" si="105"/>
        <v>0.38953971733051168</v>
      </c>
      <c r="AL44" s="107">
        <f t="shared" si="105"/>
        <v>0.40270998761564797</v>
      </c>
      <c r="AM44" s="107">
        <f t="shared" si="105"/>
        <v>0.3723542627409247</v>
      </c>
      <c r="AN44" s="107">
        <f t="shared" si="105"/>
        <v>0.39424288651588513</v>
      </c>
      <c r="AO44" s="107">
        <f t="shared" si="105"/>
        <v>0.41176122231434326</v>
      </c>
      <c r="AP44" s="107">
        <f t="shared" si="105"/>
        <v>0.41423068207568547</v>
      </c>
      <c r="AQ44" s="107">
        <f t="shared" si="105"/>
        <v>0.3881035954842994</v>
      </c>
      <c r="AR44" s="107">
        <f t="shared" si="105"/>
        <v>0.47274059874837909</v>
      </c>
      <c r="AS44" s="107">
        <f t="shared" si="105"/>
        <v>0.47599935784235031</v>
      </c>
      <c r="AT44" s="107">
        <f t="shared" si="105"/>
        <v>0.4301816488122962</v>
      </c>
      <c r="AU44" s="107">
        <f t="shared" si="105"/>
        <v>0.3593260188087774</v>
      </c>
      <c r="AV44" s="107">
        <f t="shared" si="105"/>
        <v>0.36918726835046428</v>
      </c>
      <c r="AW44" s="107">
        <f t="shared" si="105"/>
        <v>0.3890016163978402</v>
      </c>
      <c r="AX44" s="107">
        <f t="shared" ref="AX44:BK44" si="106">+AX32/AX$9</f>
        <v>0.44177869700103412</v>
      </c>
      <c r="AY44" s="107">
        <f t="shared" si="106"/>
        <v>0.43770603783671408</v>
      </c>
      <c r="AZ44" s="107">
        <f t="shared" si="106"/>
        <v>0.47939658879174429</v>
      </c>
      <c r="BA44" s="107">
        <f t="shared" si="106"/>
        <v>0.52987301367011308</v>
      </c>
      <c r="BB44" s="107">
        <f t="shared" si="106"/>
        <v>0.57566572851266506</v>
      </c>
      <c r="BC44" s="107">
        <f t="shared" si="106"/>
        <v>0.45683196020519196</v>
      </c>
      <c r="BD44" s="107">
        <f t="shared" si="106"/>
        <v>0.4906964566241927</v>
      </c>
      <c r="BE44" s="107">
        <f t="shared" si="106"/>
        <v>0.4365761430044689</v>
      </c>
      <c r="BF44" s="107">
        <f t="shared" si="106"/>
        <v>0.40476190476190477</v>
      </c>
      <c r="BG44" s="107">
        <f t="shared" si="106"/>
        <v>0.37338884595248184</v>
      </c>
      <c r="BH44" s="107">
        <f t="shared" si="106"/>
        <v>0.43261555342202718</v>
      </c>
      <c r="BI44" s="107">
        <f t="shared" si="106"/>
        <v>0.39712318599472757</v>
      </c>
      <c r="BJ44" s="107">
        <f t="shared" ref="BJ44" si="107">+BJ32/BJ$9</f>
        <v>0.3908448101702432</v>
      </c>
      <c r="BK44" s="107">
        <f t="shared" si="106"/>
        <v>0.3761781296338525</v>
      </c>
      <c r="BL44" s="107">
        <f t="shared" ref="BL44:BO44" si="108">+BL32/BL$9</f>
        <v>0.43417666816373568</v>
      </c>
      <c r="BM44" s="107">
        <f t="shared" si="108"/>
        <v>0.39943417767504236</v>
      </c>
      <c r="BN44" s="107">
        <f t="shared" si="108"/>
        <v>0.40476164791256714</v>
      </c>
      <c r="BO44" s="107">
        <f t="shared" si="108"/>
        <v>0.38031098956933967</v>
      </c>
      <c r="BP44" s="107"/>
      <c r="BQ44" s="107">
        <f t="shared" ref="BQ44:CD44" si="109">+BQ32/BQ$9</f>
        <v>1.542483660130719</v>
      </c>
      <c r="BR44" s="107">
        <f t="shared" si="109"/>
        <v>0.74632352941176472</v>
      </c>
      <c r="BS44" s="107">
        <f t="shared" si="109"/>
        <v>0.37580437580437581</v>
      </c>
      <c r="BT44" s="107">
        <f t="shared" si="109"/>
        <v>0.22745694022289767</v>
      </c>
      <c r="BU44" s="107">
        <f t="shared" si="109"/>
        <v>0.2947992454863918</v>
      </c>
      <c r="BV44" s="107">
        <f t="shared" si="109"/>
        <v>0.62625270190607196</v>
      </c>
      <c r="BW44" s="107">
        <f t="shared" si="109"/>
        <v>0.40548780487804881</v>
      </c>
      <c r="BX44" s="107">
        <f t="shared" si="109"/>
        <v>0.42660035296005133</v>
      </c>
      <c r="BY44" s="107">
        <f t="shared" si="109"/>
        <v>0.4928878228370614</v>
      </c>
      <c r="BZ44" s="107">
        <f t="shared" si="109"/>
        <v>0.41327158260366165</v>
      </c>
      <c r="CA44" s="107">
        <f t="shared" si="109"/>
        <v>0.36887806557941605</v>
      </c>
      <c r="CB44" s="107">
        <f t="shared" si="109"/>
        <v>0.38629607077617395</v>
      </c>
      <c r="CC44" s="107">
        <f t="shared" si="109"/>
        <v>0.40158705461334993</v>
      </c>
      <c r="CD44" s="107">
        <f t="shared" si="109"/>
        <v>0.42578461252122934</v>
      </c>
      <c r="CE44" s="107">
        <f t="shared" si="94"/>
        <v>0.41149335617193394</v>
      </c>
      <c r="CF44" s="107">
        <f t="shared" si="94"/>
        <v>0.50852850123060822</v>
      </c>
      <c r="CG44" s="107">
        <f t="shared" si="94"/>
        <v>0.42122741862551055</v>
      </c>
      <c r="CH44" s="107">
        <f>+CH32/CH$9</f>
        <v>0.39747811022090102</v>
      </c>
      <c r="CI44" s="107">
        <f>+CI32/CI$9</f>
        <v>0.40304994736434413</v>
      </c>
    </row>
    <row r="45" spans="2:87" s="76" customFormat="1" x14ac:dyDescent="0.2">
      <c r="B45" s="6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L45" s="57"/>
      <c r="BM45" s="57"/>
      <c r="BN45" s="57"/>
      <c r="BO45" s="57"/>
      <c r="BQ45" s="57"/>
      <c r="BR45" s="57"/>
      <c r="BS45" s="57"/>
      <c r="BT45" s="57"/>
      <c r="BU45" s="57"/>
      <c r="BV45" s="57"/>
      <c r="BW45" s="57"/>
      <c r="BX45" s="57"/>
      <c r="BY45" s="57"/>
      <c r="BZ45" s="57"/>
    </row>
    <row r="46" spans="2:87" s="76" customFormat="1" x14ac:dyDescent="0.2">
      <c r="B46" s="89" t="s">
        <v>19</v>
      </c>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175"/>
      <c r="AO46" s="57"/>
      <c r="AP46" s="57"/>
      <c r="AQ46" s="57"/>
      <c r="AR46" s="175"/>
      <c r="AS46" s="57"/>
      <c r="AT46" s="57"/>
      <c r="AU46" s="57"/>
      <c r="AV46" s="175"/>
      <c r="AW46" s="57"/>
      <c r="AX46" s="57"/>
      <c r="AY46" s="57"/>
      <c r="AZ46" s="57"/>
      <c r="BA46" s="57"/>
      <c r="BB46" s="57"/>
      <c r="BC46" s="57"/>
      <c r="BD46" s="57"/>
      <c r="BE46" s="57"/>
      <c r="BF46" s="57"/>
      <c r="BG46" s="57"/>
      <c r="BH46" s="57"/>
      <c r="BI46" s="57"/>
      <c r="BJ46" s="57"/>
      <c r="BK46" s="57"/>
      <c r="BL46" s="57"/>
      <c r="BM46" s="57"/>
      <c r="BN46" s="57"/>
      <c r="BO46" s="57"/>
      <c r="BQ46" s="57"/>
      <c r="BR46" s="57"/>
      <c r="BS46" s="57"/>
      <c r="BT46" s="57"/>
      <c r="BU46" s="57"/>
      <c r="BV46" s="57"/>
      <c r="BW46" s="57"/>
      <c r="BX46" s="57"/>
      <c r="BY46" s="57"/>
      <c r="BZ46" s="57"/>
    </row>
    <row r="47" spans="2:87" s="76" customFormat="1" x14ac:dyDescent="0.2">
      <c r="B47" s="101" t="s">
        <v>520</v>
      </c>
      <c r="D47" s="95">
        <f t="shared" ref="D47:AI47" si="110">+D9-D52</f>
        <v>183</v>
      </c>
      <c r="E47" s="95">
        <f t="shared" si="110"/>
        <v>213</v>
      </c>
      <c r="F47" s="95">
        <f t="shared" si="110"/>
        <v>251</v>
      </c>
      <c r="G47" s="95">
        <f t="shared" si="110"/>
        <v>294</v>
      </c>
      <c r="H47" s="95">
        <f t="shared" si="110"/>
        <v>343</v>
      </c>
      <c r="I47" s="95">
        <f t="shared" si="110"/>
        <v>488</v>
      </c>
      <c r="J47" s="95">
        <f t="shared" si="110"/>
        <v>540</v>
      </c>
      <c r="K47" s="95">
        <f t="shared" si="110"/>
        <v>583</v>
      </c>
      <c r="L47" s="95">
        <f t="shared" si="110"/>
        <v>677</v>
      </c>
      <c r="M47" s="95">
        <f t="shared" si="110"/>
        <v>1927</v>
      </c>
      <c r="N47" s="95">
        <f t="shared" si="110"/>
        <v>885</v>
      </c>
      <c r="O47" s="95">
        <f t="shared" si="110"/>
        <v>1062</v>
      </c>
      <c r="P47" s="95">
        <f t="shared" si="110"/>
        <v>1085</v>
      </c>
      <c r="Q47" s="95">
        <f t="shared" si="110"/>
        <v>1251</v>
      </c>
      <c r="R47" s="95">
        <f t="shared" si="110"/>
        <v>1280</v>
      </c>
      <c r="S47" s="95">
        <f t="shared" si="110"/>
        <v>1452</v>
      </c>
      <c r="T47" s="95">
        <f t="shared" si="110"/>
        <v>1427</v>
      </c>
      <c r="U47" s="95">
        <f t="shared" si="110"/>
        <v>1520</v>
      </c>
      <c r="V47" s="95">
        <f t="shared" si="110"/>
        <v>1806</v>
      </c>
      <c r="W47" s="95">
        <f t="shared" si="110"/>
        <v>2718</v>
      </c>
      <c r="X47" s="95">
        <f t="shared" si="110"/>
        <v>2610</v>
      </c>
      <c r="Y47" s="95">
        <f t="shared" si="110"/>
        <v>2769</v>
      </c>
      <c r="Z47" s="95">
        <f t="shared" si="110"/>
        <v>3042</v>
      </c>
      <c r="AA47" s="95">
        <f t="shared" si="110"/>
        <v>3281</v>
      </c>
      <c r="AB47" s="95">
        <f t="shared" si="110"/>
        <v>3372</v>
      </c>
      <c r="AC47" s="95">
        <f t="shared" si="110"/>
        <v>3702</v>
      </c>
      <c r="AD47" s="95">
        <f t="shared" si="110"/>
        <v>3894</v>
      </c>
      <c r="AE47" s="95">
        <f t="shared" si="110"/>
        <v>4243</v>
      </c>
      <c r="AF47" s="95">
        <f t="shared" si="110"/>
        <v>4705</v>
      </c>
      <c r="AG47" s="95">
        <f t="shared" si="110"/>
        <v>4920</v>
      </c>
      <c r="AH47" s="95">
        <f t="shared" si="110"/>
        <v>5206</v>
      </c>
      <c r="AI47" s="95">
        <f t="shared" si="110"/>
        <v>5620</v>
      </c>
      <c r="AJ47" s="95">
        <f t="shared" ref="AJ47:BK47" si="111">+AJ9-AJ52</f>
        <v>6517</v>
      </c>
      <c r="AK47" s="95">
        <f t="shared" si="111"/>
        <v>7368</v>
      </c>
      <c r="AL47" s="95">
        <f t="shared" si="111"/>
        <v>7946</v>
      </c>
      <c r="AM47" s="95">
        <f t="shared" si="111"/>
        <v>9094</v>
      </c>
      <c r="AN47" s="95">
        <f t="shared" si="111"/>
        <v>8760</v>
      </c>
      <c r="AO47" s="95">
        <f t="shared" si="111"/>
        <v>10260</v>
      </c>
      <c r="AP47" s="95">
        <f t="shared" si="111"/>
        <v>10467</v>
      </c>
      <c r="AQ47" s="95">
        <f t="shared" si="111"/>
        <v>11674</v>
      </c>
      <c r="AR47" s="95">
        <f t="shared" si="111"/>
        <v>11844</v>
      </c>
      <c r="AS47" s="95">
        <f t="shared" si="111"/>
        <v>12724</v>
      </c>
      <c r="AT47" s="95">
        <f t="shared" si="111"/>
        <v>13430</v>
      </c>
      <c r="AU47" s="95">
        <f t="shared" si="111"/>
        <v>15297</v>
      </c>
      <c r="AV47" s="95">
        <f t="shared" si="111"/>
        <v>14793</v>
      </c>
      <c r="AW47" s="95">
        <f t="shared" si="111"/>
        <v>16710</v>
      </c>
      <c r="AX47" s="95">
        <f t="shared" si="111"/>
        <v>18587</v>
      </c>
      <c r="AY47" s="95">
        <f t="shared" si="111"/>
        <v>21086</v>
      </c>
      <c r="AZ47" s="95">
        <f t="shared" si="111"/>
        <v>19384</v>
      </c>
      <c r="BA47" s="95">
        <f t="shared" si="111"/>
        <v>20464</v>
      </c>
      <c r="BB47" s="95">
        <f t="shared" si="111"/>
        <v>21637</v>
      </c>
      <c r="BC47" s="95">
        <f t="shared" si="111"/>
        <v>21568</v>
      </c>
      <c r="BD47" s="95">
        <f t="shared" si="111"/>
        <v>20274</v>
      </c>
      <c r="BE47" s="95">
        <f t="shared" si="111"/>
        <v>19957</v>
      </c>
      <c r="BF47" s="95">
        <f>+BF9-BF52</f>
        <v>20018</v>
      </c>
      <c r="BG47" s="95">
        <f>+BG9-BG52</f>
        <v>22579</v>
      </c>
      <c r="BH47" s="95">
        <f>+BH9-BH52</f>
        <v>22391</v>
      </c>
      <c r="BI47" s="95">
        <f>+BI9-BI52</f>
        <v>22824</v>
      </c>
      <c r="BJ47" s="95">
        <f>+BJ9-BJ52</f>
        <v>23239</v>
      </c>
      <c r="BK47" s="95">
        <f t="shared" si="111"/>
        <v>26548.006410367125</v>
      </c>
      <c r="BL47" s="95">
        <f t="shared" ref="BL47:BO47" si="112">+BL9-BL52</f>
        <v>25467.186266492783</v>
      </c>
      <c r="BM47" s="95">
        <f t="shared" si="112"/>
        <v>25967.614891639303</v>
      </c>
      <c r="BN47" s="95">
        <f t="shared" si="112"/>
        <v>26810.322385568776</v>
      </c>
      <c r="BO47" s="95">
        <f t="shared" si="112"/>
        <v>30266.74415560819</v>
      </c>
      <c r="BQ47" s="95">
        <f t="shared" ref="BQ47:CG47" si="113">+BQ9-BQ52</f>
        <v>277</v>
      </c>
      <c r="BR47" s="95">
        <f t="shared" si="113"/>
        <v>327</v>
      </c>
      <c r="BS47" s="95">
        <f t="shared" si="113"/>
        <v>515</v>
      </c>
      <c r="BT47" s="95">
        <f t="shared" si="113"/>
        <v>942</v>
      </c>
      <c r="BU47" s="95">
        <f t="shared" si="113"/>
        <v>1954</v>
      </c>
      <c r="BV47" s="95">
        <f t="shared" si="113"/>
        <v>4551</v>
      </c>
      <c r="BW47" s="95">
        <f t="shared" si="113"/>
        <v>5068</v>
      </c>
      <c r="BX47" s="95">
        <f t="shared" si="113"/>
        <v>7471</v>
      </c>
      <c r="BY47" s="95">
        <f t="shared" si="113"/>
        <v>11702</v>
      </c>
      <c r="BZ47" s="95">
        <f t="shared" si="113"/>
        <v>15211</v>
      </c>
      <c r="CA47" s="95">
        <f t="shared" si="113"/>
        <v>20451</v>
      </c>
      <c r="CB47" s="95">
        <f t="shared" si="113"/>
        <v>30925</v>
      </c>
      <c r="CC47" s="95">
        <f t="shared" si="113"/>
        <v>41161</v>
      </c>
      <c r="CD47" s="95">
        <f t="shared" si="113"/>
        <v>53295</v>
      </c>
      <c r="CE47" s="95">
        <f t="shared" si="113"/>
        <v>71176</v>
      </c>
      <c r="CF47" s="95">
        <f t="shared" si="113"/>
        <v>83053</v>
      </c>
      <c r="CG47" s="95">
        <f t="shared" si="113"/>
        <v>82828</v>
      </c>
      <c r="CH47" s="95">
        <f>+SUM(BH47:BK47)</f>
        <v>95002.006410367117</v>
      </c>
      <c r="CI47" s="95">
        <f>+SUM(BL47:BO47)</f>
        <v>108511.86769930906</v>
      </c>
    </row>
    <row r="48" spans="2:87" s="76" customFormat="1" x14ac:dyDescent="0.2">
      <c r="B48" s="67" t="s">
        <v>17</v>
      </c>
      <c r="D48" s="57"/>
      <c r="E48" s="57"/>
      <c r="F48" s="57"/>
      <c r="G48" s="57"/>
      <c r="H48" s="106">
        <f>+H47/D47-1</f>
        <v>0.87431693989071047</v>
      </c>
      <c r="I48" s="106">
        <f t="shared" ref="I48:BJ48" si="114">+I47/E47-1</f>
        <v>1.291079812206573</v>
      </c>
      <c r="J48" s="106">
        <f t="shared" si="114"/>
        <v>1.1513944223107568</v>
      </c>
      <c r="K48" s="106">
        <f t="shared" si="114"/>
        <v>0.98299319727891166</v>
      </c>
      <c r="L48" s="106">
        <f t="shared" si="114"/>
        <v>0.97376093294460642</v>
      </c>
      <c r="M48" s="106">
        <f t="shared" si="114"/>
        <v>2.9487704918032787</v>
      </c>
      <c r="N48" s="106">
        <f t="shared" si="114"/>
        <v>0.63888888888888884</v>
      </c>
      <c r="O48" s="106">
        <f t="shared" si="114"/>
        <v>0.82161234991423671</v>
      </c>
      <c r="P48" s="106">
        <f t="shared" si="114"/>
        <v>0.60265878877400292</v>
      </c>
      <c r="Q48" s="106">
        <f t="shared" si="114"/>
        <v>-0.35080435910742092</v>
      </c>
      <c r="R48" s="106">
        <f t="shared" si="114"/>
        <v>0.4463276836158192</v>
      </c>
      <c r="S48" s="106">
        <f t="shared" si="114"/>
        <v>0.36723163841807915</v>
      </c>
      <c r="T48" s="106">
        <f t="shared" si="114"/>
        <v>0.31520737327188941</v>
      </c>
      <c r="U48" s="106">
        <f t="shared" si="114"/>
        <v>0.2150279776179056</v>
      </c>
      <c r="V48" s="106">
        <f t="shared" si="114"/>
        <v>0.41093749999999996</v>
      </c>
      <c r="W48" s="106">
        <f t="shared" si="114"/>
        <v>0.87190082644628109</v>
      </c>
      <c r="X48" s="106">
        <f t="shared" si="114"/>
        <v>0.82901191310441491</v>
      </c>
      <c r="Y48" s="106">
        <f t="shared" si="114"/>
        <v>0.82171052631578956</v>
      </c>
      <c r="Z48" s="106">
        <f t="shared" si="114"/>
        <v>0.68438538205980071</v>
      </c>
      <c r="AA48" s="106">
        <f t="shared" si="114"/>
        <v>0.20713760117733626</v>
      </c>
      <c r="AB48" s="106">
        <f t="shared" si="114"/>
        <v>0.29195402298850581</v>
      </c>
      <c r="AC48" s="106">
        <f t="shared" si="114"/>
        <v>0.33694474539544972</v>
      </c>
      <c r="AD48" s="106">
        <f t="shared" si="114"/>
        <v>0.28007889546351095</v>
      </c>
      <c r="AE48" s="106">
        <f t="shared" si="114"/>
        <v>0.2932032916793661</v>
      </c>
      <c r="AF48" s="106">
        <f t="shared" si="114"/>
        <v>0.3953143534994068</v>
      </c>
      <c r="AG48" s="106">
        <f t="shared" si="114"/>
        <v>0.3290113452188006</v>
      </c>
      <c r="AH48" s="106">
        <f t="shared" si="114"/>
        <v>0.33692860811504888</v>
      </c>
      <c r="AI48" s="106">
        <f t="shared" si="114"/>
        <v>0.32453452745698796</v>
      </c>
      <c r="AJ48" s="106">
        <f t="shared" si="114"/>
        <v>0.38512221041445271</v>
      </c>
      <c r="AK48" s="106">
        <f t="shared" si="114"/>
        <v>0.4975609756097561</v>
      </c>
      <c r="AL48" s="106">
        <f t="shared" si="114"/>
        <v>0.52631578947368429</v>
      </c>
      <c r="AM48" s="106">
        <f t="shared" si="114"/>
        <v>0.61814946619217093</v>
      </c>
      <c r="AN48" s="106">
        <f t="shared" si="114"/>
        <v>0.34417676845174161</v>
      </c>
      <c r="AO48" s="106">
        <f t="shared" si="114"/>
        <v>0.39250814332247552</v>
      </c>
      <c r="AP48" s="106">
        <f t="shared" si="114"/>
        <v>0.31726654920714825</v>
      </c>
      <c r="AQ48" s="106">
        <f t="shared" si="114"/>
        <v>0.28370354079612925</v>
      </c>
      <c r="AR48" s="106">
        <f t="shared" si="114"/>
        <v>0.35205479452054789</v>
      </c>
      <c r="AS48" s="106">
        <f t="shared" si="114"/>
        <v>0.24015594541910334</v>
      </c>
      <c r="AT48" s="106">
        <f t="shared" si="114"/>
        <v>0.2830801566829082</v>
      </c>
      <c r="AU48" s="106">
        <f t="shared" si="114"/>
        <v>0.3103477813945521</v>
      </c>
      <c r="AV48" s="106">
        <f t="shared" si="114"/>
        <v>0.24898682877406286</v>
      </c>
      <c r="AW48" s="106">
        <f t="shared" si="114"/>
        <v>0.31326626846903483</v>
      </c>
      <c r="AX48" s="106">
        <f t="shared" si="114"/>
        <v>0.38399106478034262</v>
      </c>
      <c r="AY48" s="106">
        <f t="shared" si="114"/>
        <v>0.37844021703602015</v>
      </c>
      <c r="AZ48" s="106">
        <f t="shared" si="114"/>
        <v>0.31034948962347064</v>
      </c>
      <c r="BA48" s="106">
        <f t="shared" si="114"/>
        <v>0.22465589467384794</v>
      </c>
      <c r="BB48" s="106">
        <f t="shared" si="114"/>
        <v>0.16409318340775814</v>
      </c>
      <c r="BC48" s="106">
        <f t="shared" si="114"/>
        <v>2.2858768851370614E-2</v>
      </c>
      <c r="BD48" s="106">
        <f t="shared" si="114"/>
        <v>4.5914156004952522E-2</v>
      </c>
      <c r="BE48" s="106">
        <f t="shared" si="114"/>
        <v>-2.4775215011727858E-2</v>
      </c>
      <c r="BF48" s="106">
        <f t="shared" si="114"/>
        <v>-7.4825530341544599E-2</v>
      </c>
      <c r="BG48" s="106">
        <f t="shared" si="114"/>
        <v>4.6875E-2</v>
      </c>
      <c r="BH48" s="106">
        <f t="shared" si="114"/>
        <v>0.10441945348722492</v>
      </c>
      <c r="BI48" s="106">
        <f t="shared" si="114"/>
        <v>0.14365886656311067</v>
      </c>
      <c r="BJ48" s="106">
        <f t="shared" si="114"/>
        <v>0.1609051853332002</v>
      </c>
      <c r="BK48" s="106">
        <f>+BK47/BG47-1</f>
        <v>0.1757830909414555</v>
      </c>
      <c r="BL48" s="106">
        <f t="shared" ref="BL48:BO48" si="115">+BL47/BH47-1</f>
        <v>0.13738494334745144</v>
      </c>
      <c r="BM48" s="106">
        <f t="shared" si="115"/>
        <v>0.13773286416225483</v>
      </c>
      <c r="BN48" s="106">
        <f t="shared" si="115"/>
        <v>0.15367797175303477</v>
      </c>
      <c r="BO48" s="106">
        <f t="shared" si="115"/>
        <v>0.14007596983963655</v>
      </c>
      <c r="BP48" s="106"/>
      <c r="BQ48" s="106"/>
      <c r="BR48" s="106">
        <f>+BR47/BQ47-1</f>
        <v>0.18050541516245477</v>
      </c>
      <c r="BS48" s="106">
        <f t="shared" ref="BS48:CI48" si="116">+BS47/BR47-1</f>
        <v>0.57492354740061158</v>
      </c>
      <c r="BT48" s="106">
        <f t="shared" si="116"/>
        <v>0.82912621359223304</v>
      </c>
      <c r="BU48" s="106">
        <f t="shared" si="116"/>
        <v>1.0743099787685777</v>
      </c>
      <c r="BV48" s="106">
        <f t="shared" si="116"/>
        <v>1.3290685772773796</v>
      </c>
      <c r="BW48" s="106">
        <f t="shared" si="116"/>
        <v>0.11360140628433313</v>
      </c>
      <c r="BX48" s="106">
        <f t="shared" si="116"/>
        <v>0.47415153906866614</v>
      </c>
      <c r="BY48" s="106">
        <f t="shared" si="116"/>
        <v>0.56632311604872165</v>
      </c>
      <c r="BZ48" s="106">
        <f t="shared" si="116"/>
        <v>0.29986327123568612</v>
      </c>
      <c r="CA48" s="106">
        <f t="shared" si="116"/>
        <v>0.3444875419104596</v>
      </c>
      <c r="CB48" s="106">
        <f t="shared" si="116"/>
        <v>0.5121509950613663</v>
      </c>
      <c r="CC48" s="106">
        <f t="shared" si="116"/>
        <v>0.33099434114793858</v>
      </c>
      <c r="CD48" s="106">
        <f t="shared" si="116"/>
        <v>0.29479361531546844</v>
      </c>
      <c r="CE48" s="106">
        <f t="shared" si="116"/>
        <v>0.33550989773899986</v>
      </c>
      <c r="CF48" s="106">
        <f t="shared" si="116"/>
        <v>0.1668680454085647</v>
      </c>
      <c r="CG48" s="106">
        <f t="shared" si="116"/>
        <v>-2.7091134576715525E-3</v>
      </c>
      <c r="CH48" s="106">
        <f t="shared" si="116"/>
        <v>0.14697935976200216</v>
      </c>
      <c r="CI48" s="106">
        <f t="shared" si="116"/>
        <v>0.14220606279182424</v>
      </c>
    </row>
    <row r="49" spans="2:90" s="76" customFormat="1" x14ac:dyDescent="0.2">
      <c r="B49" s="67" t="s">
        <v>257</v>
      </c>
      <c r="D49" s="57"/>
      <c r="E49" s="106">
        <f>+E47/D47-1</f>
        <v>0.16393442622950816</v>
      </c>
      <c r="F49" s="106">
        <f t="shared" ref="F49:BK49" si="117">+F47/E47-1</f>
        <v>0.17840375586854451</v>
      </c>
      <c r="G49" s="106">
        <f t="shared" si="117"/>
        <v>0.17131474103585664</v>
      </c>
      <c r="H49" s="106">
        <f t="shared" si="117"/>
        <v>0.16666666666666674</v>
      </c>
      <c r="I49" s="106">
        <f t="shared" si="117"/>
        <v>0.42274052478134116</v>
      </c>
      <c r="J49" s="106">
        <f t="shared" si="117"/>
        <v>0.10655737704918034</v>
      </c>
      <c r="K49" s="106">
        <f t="shared" si="117"/>
        <v>7.9629629629629717E-2</v>
      </c>
      <c r="L49" s="106">
        <f t="shared" si="117"/>
        <v>0.16123499142367059</v>
      </c>
      <c r="M49" s="106">
        <f t="shared" si="117"/>
        <v>1.846381093057607</v>
      </c>
      <c r="N49" s="106">
        <f t="shared" si="117"/>
        <v>-0.54073689673066938</v>
      </c>
      <c r="O49" s="106">
        <f t="shared" si="117"/>
        <v>0.19999999999999996</v>
      </c>
      <c r="P49" s="106">
        <f t="shared" si="117"/>
        <v>2.1657250470809686E-2</v>
      </c>
      <c r="Q49" s="106">
        <f t="shared" si="117"/>
        <v>0.15299539170506904</v>
      </c>
      <c r="R49" s="106">
        <f t="shared" si="117"/>
        <v>2.3181454836131099E-2</v>
      </c>
      <c r="S49" s="106">
        <f t="shared" si="117"/>
        <v>0.13437499999999991</v>
      </c>
      <c r="T49" s="106">
        <f t="shared" si="117"/>
        <v>-1.7217630853994526E-2</v>
      </c>
      <c r="U49" s="106">
        <f t="shared" si="117"/>
        <v>6.5171688857743604E-2</v>
      </c>
      <c r="V49" s="106">
        <f t="shared" si="117"/>
        <v>0.18815789473684208</v>
      </c>
      <c r="W49" s="106">
        <f t="shared" si="117"/>
        <v>0.50498338870431891</v>
      </c>
      <c r="X49" s="106">
        <f t="shared" si="117"/>
        <v>-3.9735099337748325E-2</v>
      </c>
      <c r="Y49" s="106">
        <f t="shared" si="117"/>
        <v>6.0919540229884994E-2</v>
      </c>
      <c r="Z49" s="106">
        <f t="shared" si="117"/>
        <v>9.8591549295774739E-2</v>
      </c>
      <c r="AA49" s="106">
        <f t="shared" si="117"/>
        <v>7.8566732412886253E-2</v>
      </c>
      <c r="AB49" s="106">
        <f t="shared" si="117"/>
        <v>2.7735446510210204E-2</v>
      </c>
      <c r="AC49" s="106">
        <f t="shared" si="117"/>
        <v>9.7864768683274095E-2</v>
      </c>
      <c r="AD49" s="106">
        <f t="shared" si="117"/>
        <v>5.1863857374392142E-2</v>
      </c>
      <c r="AE49" s="106">
        <f t="shared" si="117"/>
        <v>8.9625064201335425E-2</v>
      </c>
      <c r="AF49" s="106">
        <f t="shared" si="117"/>
        <v>0.10888522271977386</v>
      </c>
      <c r="AG49" s="106">
        <f t="shared" si="117"/>
        <v>4.56960680127525E-2</v>
      </c>
      <c r="AH49" s="106">
        <f t="shared" si="117"/>
        <v>5.8130081300812986E-2</v>
      </c>
      <c r="AI49" s="106">
        <f t="shared" si="117"/>
        <v>7.9523626584709906E-2</v>
      </c>
      <c r="AJ49" s="106">
        <f t="shared" si="117"/>
        <v>0.159608540925267</v>
      </c>
      <c r="AK49" s="106">
        <f t="shared" si="117"/>
        <v>0.13058155593064291</v>
      </c>
      <c r="AL49" s="106">
        <f t="shared" si="117"/>
        <v>7.8447339847991238E-2</v>
      </c>
      <c r="AM49" s="106">
        <f t="shared" si="117"/>
        <v>0.14447520765164867</v>
      </c>
      <c r="AN49" s="106">
        <f t="shared" si="117"/>
        <v>-3.6727512645700511E-2</v>
      </c>
      <c r="AO49" s="106">
        <f t="shared" si="117"/>
        <v>0.17123287671232879</v>
      </c>
      <c r="AP49" s="106">
        <f t="shared" si="117"/>
        <v>2.017543859649118E-2</v>
      </c>
      <c r="AQ49" s="106">
        <f t="shared" si="117"/>
        <v>0.11531479889175511</v>
      </c>
      <c r="AR49" s="106">
        <f t="shared" si="117"/>
        <v>1.4562275141339676E-2</v>
      </c>
      <c r="AS49" s="106">
        <f t="shared" si="117"/>
        <v>7.4299223235393397E-2</v>
      </c>
      <c r="AT49" s="106">
        <f t="shared" si="117"/>
        <v>5.5485696321911249E-2</v>
      </c>
      <c r="AU49" s="106">
        <f t="shared" si="117"/>
        <v>0.13901712583767689</v>
      </c>
      <c r="AV49" s="106">
        <f t="shared" si="117"/>
        <v>-3.294763679152779E-2</v>
      </c>
      <c r="AW49" s="106">
        <f t="shared" si="117"/>
        <v>0.12958831879943222</v>
      </c>
      <c r="AX49" s="106">
        <f t="shared" si="117"/>
        <v>0.11232794733692408</v>
      </c>
      <c r="AY49" s="106">
        <f t="shared" si="117"/>
        <v>0.13444880830688111</v>
      </c>
      <c r="AZ49" s="106">
        <f t="shared" si="117"/>
        <v>-8.0717063454424753E-2</v>
      </c>
      <c r="BA49" s="106">
        <f t="shared" si="117"/>
        <v>5.571605447791983E-2</v>
      </c>
      <c r="BB49" s="106">
        <f t="shared" si="117"/>
        <v>5.7320172009382331E-2</v>
      </c>
      <c r="BC49" s="106">
        <f t="shared" si="117"/>
        <v>-3.1889818366687139E-3</v>
      </c>
      <c r="BD49" s="106">
        <f t="shared" si="117"/>
        <v>-5.9996290801186958E-2</v>
      </c>
      <c r="BE49" s="106">
        <f t="shared" si="117"/>
        <v>-1.5635789681365253E-2</v>
      </c>
      <c r="BF49" s="106">
        <f t="shared" si="117"/>
        <v>3.0565716290023026E-3</v>
      </c>
      <c r="BG49" s="106">
        <f t="shared" si="117"/>
        <v>0.12793485862723553</v>
      </c>
      <c r="BH49" s="106">
        <f t="shared" si="117"/>
        <v>-8.3263209176668296E-3</v>
      </c>
      <c r="BI49" s="106">
        <f t="shared" si="117"/>
        <v>1.9338126925997123E-2</v>
      </c>
      <c r="BJ49" s="106">
        <f t="shared" si="117"/>
        <v>1.8182614791447671E-2</v>
      </c>
      <c r="BK49" s="106">
        <f t="shared" si="117"/>
        <v>0.1423902237775776</v>
      </c>
      <c r="BL49" s="106">
        <f t="shared" ref="BL49" si="118">+BL47/BK47-1</f>
        <v>-4.0711913624228879E-2</v>
      </c>
      <c r="BM49" s="106">
        <f t="shared" ref="BM49" si="119">+BM47/BL47-1</f>
        <v>1.964993776344004E-2</v>
      </c>
      <c r="BN49" s="106">
        <f t="shared" ref="BN49" si="120">+BN47/BM47-1</f>
        <v>3.245224859680107E-2</v>
      </c>
      <c r="BO49" s="106">
        <f t="shared" ref="BO49" si="121">+BO47/BN47-1</f>
        <v>0.12892130576915051</v>
      </c>
      <c r="BP49" s="106"/>
      <c r="BQ49" s="106"/>
      <c r="BR49" s="106"/>
      <c r="BS49" s="106"/>
      <c r="BT49" s="106"/>
      <c r="BU49" s="106"/>
      <c r="BV49" s="106"/>
      <c r="BW49" s="106"/>
      <c r="BX49" s="106"/>
      <c r="BY49" s="106"/>
      <c r="BZ49" s="106"/>
      <c r="CA49" s="106"/>
      <c r="CB49" s="106"/>
      <c r="CC49" s="106"/>
      <c r="CD49" s="106"/>
      <c r="CE49" s="106"/>
      <c r="CF49" s="106"/>
      <c r="CG49" s="106"/>
      <c r="CH49" s="106"/>
      <c r="CI49" s="106"/>
      <c r="CJ49" s="76">
        <f>+CI52/83881-1</f>
        <v>-9.9344100793164469E-2</v>
      </c>
    </row>
    <row r="50" spans="2:90" s="76" customFormat="1" x14ac:dyDescent="0.2">
      <c r="B50" s="67" t="s">
        <v>20</v>
      </c>
      <c r="D50" s="57">
        <f t="shared" ref="D50:AI50" si="122">+D47/D9</f>
        <v>0.5304347826086957</v>
      </c>
      <c r="E50" s="57">
        <f t="shared" si="122"/>
        <v>0.49419953596287702</v>
      </c>
      <c r="F50" s="57">
        <f t="shared" si="122"/>
        <v>0.53747323340471087</v>
      </c>
      <c r="G50" s="57">
        <f t="shared" si="122"/>
        <v>0.4021887824897401</v>
      </c>
      <c r="H50" s="57">
        <f t="shared" si="122"/>
        <v>0.4692202462380301</v>
      </c>
      <c r="I50" s="57">
        <f t="shared" si="122"/>
        <v>0.54525139664804467</v>
      </c>
      <c r="J50" s="57">
        <f t="shared" si="122"/>
        <v>0.56603773584905659</v>
      </c>
      <c r="K50" s="57">
        <f t="shared" si="122"/>
        <v>0.51547303271441203</v>
      </c>
      <c r="L50" s="57">
        <f t="shared" si="122"/>
        <v>0.63988657844990549</v>
      </c>
      <c r="M50" s="57">
        <f t="shared" si="122"/>
        <v>1.6275337837837838</v>
      </c>
      <c r="N50" s="57">
        <f t="shared" si="122"/>
        <v>0.70126782884310623</v>
      </c>
      <c r="O50" s="57">
        <f t="shared" si="122"/>
        <v>0.67003154574132495</v>
      </c>
      <c r="P50" s="57">
        <f t="shared" si="122"/>
        <v>0.74417009602194784</v>
      </c>
      <c r="Q50" s="57">
        <f t="shared" si="122"/>
        <v>0.6900165471594043</v>
      </c>
      <c r="R50" s="57">
        <f t="shared" si="122"/>
        <v>0.63492063492063489</v>
      </c>
      <c r="S50" s="57">
        <f t="shared" si="122"/>
        <v>0.5617021276595745</v>
      </c>
      <c r="T50" s="57">
        <f t="shared" si="122"/>
        <v>0.57034372501998398</v>
      </c>
      <c r="U50" s="57">
        <f t="shared" si="122"/>
        <v>0.5223367697594502</v>
      </c>
      <c r="V50" s="57">
        <f t="shared" si="122"/>
        <v>0.56384639400561976</v>
      </c>
      <c r="W50" s="57">
        <f t="shared" si="122"/>
        <v>0.7057907037133212</v>
      </c>
      <c r="X50" s="57">
        <f t="shared" si="122"/>
        <v>0.73666384419983066</v>
      </c>
      <c r="Y50" s="57">
        <f t="shared" si="122"/>
        <v>0.68505690252350326</v>
      </c>
      <c r="Z50" s="57">
        <f t="shared" si="122"/>
        <v>0.67584981115307707</v>
      </c>
      <c r="AA50" s="57">
        <f t="shared" si="122"/>
        <v>0.56171888375278201</v>
      </c>
      <c r="AB50" s="57">
        <f t="shared" si="122"/>
        <v>0.62653288740245261</v>
      </c>
      <c r="AC50" s="57">
        <f t="shared" si="122"/>
        <v>0.57520198881292728</v>
      </c>
      <c r="AD50" s="57">
        <f t="shared" si="122"/>
        <v>0.55541292255027819</v>
      </c>
      <c r="AE50" s="57">
        <f t="shared" si="122"/>
        <v>0.4816664774662277</v>
      </c>
      <c r="AF50" s="57">
        <f t="shared" si="122"/>
        <v>0.58578187250996017</v>
      </c>
      <c r="AG50" s="57">
        <f t="shared" si="122"/>
        <v>0.52784036047634375</v>
      </c>
      <c r="AH50" s="57">
        <f t="shared" si="122"/>
        <v>0.50406661502711081</v>
      </c>
      <c r="AI50" s="57">
        <f t="shared" si="122"/>
        <v>0.43324082639531297</v>
      </c>
      <c r="AJ50" s="57">
        <f t="shared" ref="AJ50:BK50" si="123">+AJ47/AJ9</f>
        <v>0.54462644158448936</v>
      </c>
      <c r="AK50" s="57">
        <f t="shared" si="123"/>
        <v>0.55687400801148812</v>
      </c>
      <c r="AL50" s="57">
        <f t="shared" si="123"/>
        <v>0.57885918263276759</v>
      </c>
      <c r="AM50" s="57">
        <f t="shared" si="123"/>
        <v>0.53766110914035714</v>
      </c>
      <c r="AN50" s="57">
        <f t="shared" si="123"/>
        <v>0.58101744378855213</v>
      </c>
      <c r="AO50" s="57">
        <f t="shared" si="123"/>
        <v>0.60760393225156939</v>
      </c>
      <c r="AP50" s="57">
        <f t="shared" si="123"/>
        <v>0.5929639700883752</v>
      </c>
      <c r="AQ50" s="57">
        <f t="shared" si="123"/>
        <v>0.55374252917180533</v>
      </c>
      <c r="AR50" s="57">
        <f t="shared" si="123"/>
        <v>0.66775666685459778</v>
      </c>
      <c r="AS50" s="57">
        <f t="shared" si="123"/>
        <v>0.68090116123508326</v>
      </c>
      <c r="AT50" s="57">
        <f t="shared" si="123"/>
        <v>0.62552398695854683</v>
      </c>
      <c r="AU50" s="57">
        <f t="shared" si="123"/>
        <v>0.54492020518666284</v>
      </c>
      <c r="AV50" s="57">
        <f t="shared" si="123"/>
        <v>0.56524397233579149</v>
      </c>
      <c r="AW50" s="57">
        <f t="shared" si="123"/>
        <v>0.57468101936238269</v>
      </c>
      <c r="AX50" s="57">
        <f t="shared" si="123"/>
        <v>0.64071009996552908</v>
      </c>
      <c r="AY50" s="57">
        <f t="shared" si="123"/>
        <v>0.62623622702028447</v>
      </c>
      <c r="AZ50" s="57">
        <f t="shared" si="123"/>
        <v>0.69456786584491903</v>
      </c>
      <c r="BA50" s="57">
        <f t="shared" si="123"/>
        <v>0.71001318437304839</v>
      </c>
      <c r="BB50" s="57">
        <f t="shared" si="123"/>
        <v>0.78072454355199539</v>
      </c>
      <c r="BC50" s="57">
        <f t="shared" si="123"/>
        <v>0.67054251515622576</v>
      </c>
      <c r="BD50" s="57">
        <f t="shared" si="123"/>
        <v>0.70776749869087097</v>
      </c>
      <c r="BE50" s="57">
        <f t="shared" si="123"/>
        <v>0.62367573986687086</v>
      </c>
      <c r="BF50" s="57">
        <f>+BF47/BF9</f>
        <v>0.58624729104433904</v>
      </c>
      <c r="BG50" s="57">
        <f>+BG47/BG9</f>
        <v>0.56291291665627885</v>
      </c>
      <c r="BH50" s="57">
        <f>+BH47/BH9</f>
        <v>0.61420929913592104</v>
      </c>
      <c r="BI50" s="57">
        <f>+BI47/BI9</f>
        <v>0.58416728519874073</v>
      </c>
      <c r="BJ50" s="57">
        <f>+BJ47/BJ9</f>
        <v>0.57254428539752145</v>
      </c>
      <c r="BK50" s="57">
        <f t="shared" si="123"/>
        <v>0.56670220033764951</v>
      </c>
      <c r="BL50" s="57">
        <f t="shared" ref="BL50:BO50" si="124">+BL47/BL9</f>
        <v>0.61677041387762965</v>
      </c>
      <c r="BM50" s="57">
        <f t="shared" si="124"/>
        <v>0.58747827687905552</v>
      </c>
      <c r="BN50" s="57">
        <f t="shared" si="124"/>
        <v>0.58746112313984555</v>
      </c>
      <c r="BO50" s="57">
        <f t="shared" si="124"/>
        <v>0.57183506027313669</v>
      </c>
      <c r="BQ50" s="57">
        <f t="shared" ref="BQ50:CH50" si="125">+BQ47/BQ9</f>
        <v>1.8104575163398693</v>
      </c>
      <c r="BR50" s="57">
        <f t="shared" si="125"/>
        <v>1.2022058823529411</v>
      </c>
      <c r="BS50" s="57">
        <f t="shared" si="125"/>
        <v>0.66280566280566278</v>
      </c>
      <c r="BT50" s="57">
        <f t="shared" si="125"/>
        <v>0.47720364741641336</v>
      </c>
      <c r="BU50" s="57">
        <f t="shared" si="125"/>
        <v>0.52654271085960658</v>
      </c>
      <c r="BV50" s="57">
        <f t="shared" si="125"/>
        <v>0.89428178424051874</v>
      </c>
      <c r="BW50" s="57">
        <f t="shared" si="125"/>
        <v>0.64380081300813008</v>
      </c>
      <c r="BX50" s="57">
        <f t="shared" si="125"/>
        <v>0.59931012353601798</v>
      </c>
      <c r="BY50" s="57">
        <f t="shared" si="125"/>
        <v>0.65275840910358673</v>
      </c>
      <c r="BZ50" s="57">
        <f t="shared" si="125"/>
        <v>0.55036543888848688</v>
      </c>
      <c r="CA50" s="57">
        <f t="shared" si="125"/>
        <v>0.5030625046122057</v>
      </c>
      <c r="CB50" s="57">
        <f t="shared" si="125"/>
        <v>0.55383430638633191</v>
      </c>
      <c r="CC50" s="57">
        <f t="shared" si="125"/>
        <v>0.58221706720228583</v>
      </c>
      <c r="CD50" s="57">
        <f t="shared" si="125"/>
        <v>0.61995440057697226</v>
      </c>
      <c r="CE50" s="57">
        <f t="shared" si="125"/>
        <v>0.60354959339941827</v>
      </c>
      <c r="CF50" s="57">
        <f t="shared" si="125"/>
        <v>0.71223490468145678</v>
      </c>
      <c r="CG50" s="57">
        <f t="shared" si="125"/>
        <v>0.61399100080799995</v>
      </c>
      <c r="CH50" s="57">
        <f t="shared" si="125"/>
        <v>0.58297214289294208</v>
      </c>
      <c r="CI50" s="57">
        <f t="shared" ref="CI50" si="126">+CI47/CI9</f>
        <v>0.58954685616301861</v>
      </c>
    </row>
    <row r="51" spans="2:90" x14ac:dyDescent="0.2">
      <c r="B51" s="63"/>
      <c r="H51" s="49"/>
      <c r="I51" s="49"/>
      <c r="J51" s="49"/>
      <c r="K51" s="49"/>
      <c r="L51" s="49"/>
      <c r="AB51" s="49"/>
      <c r="AC51" s="49"/>
      <c r="AD51" s="49"/>
      <c r="AS51" s="56"/>
      <c r="AT51" s="56"/>
      <c r="AU51" s="56"/>
      <c r="AV51" s="56"/>
      <c r="AW51" s="56"/>
      <c r="AX51" s="56"/>
      <c r="AY51" s="56"/>
      <c r="AZ51" s="56"/>
      <c r="BA51" s="56"/>
      <c r="BB51" s="56"/>
      <c r="BC51" s="56"/>
      <c r="BD51" s="56"/>
      <c r="BE51" s="56"/>
      <c r="BF51" s="56"/>
      <c r="BG51" s="56"/>
      <c r="BH51" s="55"/>
      <c r="BI51" s="56"/>
      <c r="BJ51" s="56"/>
      <c r="BK51" s="56"/>
      <c r="BL51" s="56"/>
      <c r="BM51" s="56"/>
      <c r="BN51" s="56"/>
      <c r="BO51" s="56"/>
      <c r="BU51" s="49"/>
    </row>
    <row r="52" spans="2:90" s="58" customFormat="1" x14ac:dyDescent="0.2">
      <c r="B52" s="58" t="s">
        <v>289</v>
      </c>
      <c r="D52" s="59">
        <f t="shared" ref="D52:AW52" si="127">+D25-D32</f>
        <v>162</v>
      </c>
      <c r="E52" s="59">
        <f t="shared" si="127"/>
        <v>218</v>
      </c>
      <c r="F52" s="59">
        <f t="shared" si="127"/>
        <v>216</v>
      </c>
      <c r="G52" s="59">
        <f t="shared" si="127"/>
        <v>437</v>
      </c>
      <c r="H52" s="59">
        <f t="shared" si="127"/>
        <v>388</v>
      </c>
      <c r="I52" s="59">
        <f t="shared" si="127"/>
        <v>407</v>
      </c>
      <c r="J52" s="59">
        <f t="shared" si="127"/>
        <v>414</v>
      </c>
      <c r="K52" s="59">
        <f t="shared" si="127"/>
        <v>548</v>
      </c>
      <c r="L52" s="59">
        <f t="shared" si="127"/>
        <v>381</v>
      </c>
      <c r="M52" s="59">
        <f t="shared" si="127"/>
        <v>-743</v>
      </c>
      <c r="N52" s="59">
        <f t="shared" si="127"/>
        <v>377</v>
      </c>
      <c r="O52" s="59">
        <f t="shared" si="127"/>
        <v>523</v>
      </c>
      <c r="P52" s="59">
        <f t="shared" si="127"/>
        <v>373</v>
      </c>
      <c r="Q52" s="59">
        <f t="shared" si="127"/>
        <v>562</v>
      </c>
      <c r="R52" s="59">
        <f t="shared" si="127"/>
        <v>736</v>
      </c>
      <c r="S52" s="59">
        <f t="shared" si="127"/>
        <v>1133</v>
      </c>
      <c r="T52" s="59">
        <f t="shared" si="127"/>
        <v>1075</v>
      </c>
      <c r="U52" s="59">
        <f t="shared" si="127"/>
        <v>1390</v>
      </c>
      <c r="V52" s="59">
        <f t="shared" si="127"/>
        <v>1397</v>
      </c>
      <c r="W52" s="59">
        <f t="shared" si="127"/>
        <v>1133</v>
      </c>
      <c r="X52" s="59">
        <f t="shared" si="127"/>
        <v>933</v>
      </c>
      <c r="Y52" s="59">
        <f t="shared" si="127"/>
        <v>1273</v>
      </c>
      <c r="Z52" s="59">
        <f t="shared" si="127"/>
        <v>1459</v>
      </c>
      <c r="AA52" s="59">
        <f t="shared" si="127"/>
        <v>2560</v>
      </c>
      <c r="AB52" s="59">
        <f t="shared" si="127"/>
        <v>2010</v>
      </c>
      <c r="AC52" s="59">
        <f t="shared" si="127"/>
        <v>2734</v>
      </c>
      <c r="AD52" s="59">
        <f t="shared" si="127"/>
        <v>3117</v>
      </c>
      <c r="AE52" s="59">
        <f t="shared" si="127"/>
        <v>4566</v>
      </c>
      <c r="AF52" s="59">
        <f t="shared" si="127"/>
        <v>3327</v>
      </c>
      <c r="AG52" s="59">
        <f t="shared" si="127"/>
        <v>4401</v>
      </c>
      <c r="AH52" s="59">
        <f t="shared" si="127"/>
        <v>5122</v>
      </c>
      <c r="AI52" s="59">
        <f t="shared" si="127"/>
        <v>7352</v>
      </c>
      <c r="AJ52" s="59">
        <f t="shared" si="127"/>
        <v>5449</v>
      </c>
      <c r="AK52" s="59">
        <f t="shared" si="127"/>
        <v>5863</v>
      </c>
      <c r="AL52" s="59">
        <f t="shared" si="127"/>
        <v>5781</v>
      </c>
      <c r="AM52" s="59">
        <f t="shared" si="127"/>
        <v>7820</v>
      </c>
      <c r="AN52" s="59">
        <f t="shared" si="127"/>
        <v>6317</v>
      </c>
      <c r="AO52" s="59">
        <f t="shared" si="127"/>
        <v>6626</v>
      </c>
      <c r="AP52" s="59">
        <f t="shared" si="127"/>
        <v>7185</v>
      </c>
      <c r="AQ52" s="59">
        <f t="shared" si="127"/>
        <v>9408</v>
      </c>
      <c r="AR52" s="59">
        <f t="shared" si="127"/>
        <v>5893</v>
      </c>
      <c r="AS52" s="59">
        <f t="shared" si="127"/>
        <v>5963</v>
      </c>
      <c r="AT52" s="59">
        <f t="shared" si="127"/>
        <v>8040</v>
      </c>
      <c r="AU52" s="59">
        <f t="shared" si="127"/>
        <v>12775</v>
      </c>
      <c r="AV52" s="59">
        <f t="shared" si="127"/>
        <v>11378</v>
      </c>
      <c r="AW52" s="59">
        <f t="shared" si="127"/>
        <v>12367</v>
      </c>
      <c r="AX52" s="59">
        <f t="shared" ref="AX52:BK52" si="128">+AX25-AX32</f>
        <v>10423</v>
      </c>
      <c r="AY52" s="59">
        <f t="shared" si="128"/>
        <v>12585</v>
      </c>
      <c r="AZ52" s="59">
        <f t="shared" si="128"/>
        <v>8524</v>
      </c>
      <c r="BA52" s="59">
        <f t="shared" si="128"/>
        <v>8358</v>
      </c>
      <c r="BB52" s="59">
        <f t="shared" si="128"/>
        <v>6077</v>
      </c>
      <c r="BC52" s="59">
        <f t="shared" si="128"/>
        <v>10597</v>
      </c>
      <c r="BD52" s="59">
        <f t="shared" si="128"/>
        <v>8371</v>
      </c>
      <c r="BE52" s="59">
        <f t="shared" si="128"/>
        <v>12042</v>
      </c>
      <c r="BF52" s="59">
        <f t="shared" si="128"/>
        <v>14128</v>
      </c>
      <c r="BG52" s="59">
        <f t="shared" si="128"/>
        <v>17532</v>
      </c>
      <c r="BH52" s="59">
        <f t="shared" si="128"/>
        <v>14064</v>
      </c>
      <c r="BI52" s="59">
        <f t="shared" si="128"/>
        <v>16247</v>
      </c>
      <c r="BJ52" s="59">
        <f t="shared" ref="BJ52" si="129">+BJ25-BJ32</f>
        <v>17350</v>
      </c>
      <c r="BK52" s="59">
        <f t="shared" si="128"/>
        <v>20298.479088629407</v>
      </c>
      <c r="BL52" s="59">
        <f t="shared" ref="BL52:BO52" si="130">+BL25-BL32</f>
        <v>15824.006847620505</v>
      </c>
      <c r="BM52" s="59">
        <f t="shared" si="130"/>
        <v>18234.215054466553</v>
      </c>
      <c r="BN52" s="59">
        <f t="shared" si="130"/>
        <v>18827.288903964269</v>
      </c>
      <c r="BO52" s="59">
        <f t="shared" si="130"/>
        <v>22662.406675317245</v>
      </c>
      <c r="BQ52" s="59">
        <f t="shared" ref="BQ52:BZ52" si="131">+BQ25-BQ32</f>
        <v>-124</v>
      </c>
      <c r="BR52" s="59">
        <f t="shared" si="131"/>
        <v>-55</v>
      </c>
      <c r="BS52" s="59">
        <f t="shared" si="131"/>
        <v>262</v>
      </c>
      <c r="BT52" s="59">
        <f t="shared" si="131"/>
        <v>1032</v>
      </c>
      <c r="BU52" s="59">
        <f t="shared" si="131"/>
        <v>1757</v>
      </c>
      <c r="BV52" s="59">
        <f t="shared" si="131"/>
        <v>538</v>
      </c>
      <c r="BW52" s="59">
        <f t="shared" si="131"/>
        <v>2804</v>
      </c>
      <c r="BX52" s="59">
        <f t="shared" si="131"/>
        <v>4995</v>
      </c>
      <c r="BY52" s="59">
        <f t="shared" si="131"/>
        <v>6225</v>
      </c>
      <c r="BZ52" s="59">
        <f t="shared" si="131"/>
        <v>12427</v>
      </c>
      <c r="CA52" s="59">
        <f>+SUM(AF52:AI52)</f>
        <v>20202</v>
      </c>
      <c r="CB52" s="59">
        <f>SUM(AJ52:AM52)</f>
        <v>24913</v>
      </c>
      <c r="CC52" s="59">
        <f>+SUM(AN52:AQ52)</f>
        <v>29536</v>
      </c>
      <c r="CD52" s="59">
        <f>+SUM(AR52:AU52)</f>
        <v>32671</v>
      </c>
      <c r="CE52" s="59">
        <f>+SUM(AV52:AY52)</f>
        <v>46753</v>
      </c>
      <c r="CF52" s="59">
        <f>+SUM(AZ52:BC52)</f>
        <v>33556</v>
      </c>
      <c r="CG52" s="59">
        <f>+SUM(BD52:BG52)</f>
        <v>52073</v>
      </c>
      <c r="CH52" s="59">
        <f>+SUM(BH52:BK52)</f>
        <v>67959.479088629407</v>
      </c>
      <c r="CI52" s="59">
        <f>+SUM(BL52:BO52)</f>
        <v>75547.917481368568</v>
      </c>
      <c r="CJ52" s="204"/>
    </row>
    <row r="53" spans="2:90" x14ac:dyDescent="0.2">
      <c r="B53" s="60" t="s">
        <v>17</v>
      </c>
      <c r="H53" s="106">
        <f>+H52/D52-1</f>
        <v>1.3950617283950617</v>
      </c>
      <c r="I53" s="106">
        <f t="shared" ref="I53:BJ53" si="132">+I52/E52-1</f>
        <v>0.8669724770642202</v>
      </c>
      <c r="J53" s="106">
        <f t="shared" si="132"/>
        <v>0.91666666666666674</v>
      </c>
      <c r="K53" s="106">
        <f t="shared" si="132"/>
        <v>0.25400457665903886</v>
      </c>
      <c r="L53" s="106">
        <f t="shared" si="132"/>
        <v>-1.8041237113402109E-2</v>
      </c>
      <c r="M53" s="106">
        <f t="shared" si="132"/>
        <v>-2.8255528255528253</v>
      </c>
      <c r="N53" s="106">
        <f t="shared" si="132"/>
        <v>-8.9371980676328455E-2</v>
      </c>
      <c r="O53" s="106">
        <f t="shared" si="132"/>
        <v>-4.5620437956204407E-2</v>
      </c>
      <c r="P53" s="106">
        <f t="shared" si="132"/>
        <v>-2.0997375328083989E-2</v>
      </c>
      <c r="Q53" s="106">
        <f t="shared" si="132"/>
        <v>-1.756393001345895</v>
      </c>
      <c r="R53" s="106">
        <f t="shared" si="132"/>
        <v>0.95225464190981435</v>
      </c>
      <c r="S53" s="106">
        <f t="shared" si="132"/>
        <v>1.1663479923518163</v>
      </c>
      <c r="T53" s="106">
        <f t="shared" si="132"/>
        <v>1.8820375335120643</v>
      </c>
      <c r="U53" s="106">
        <f t="shared" si="132"/>
        <v>1.4733096085409252</v>
      </c>
      <c r="V53" s="106">
        <f t="shared" si="132"/>
        <v>0.89809782608695654</v>
      </c>
      <c r="W53" s="106">
        <f t="shared" si="132"/>
        <v>0</v>
      </c>
      <c r="X53" s="106">
        <f t="shared" si="132"/>
        <v>-0.13209302325581396</v>
      </c>
      <c r="Y53" s="106">
        <f t="shared" si="132"/>
        <v>-8.4172661870503651E-2</v>
      </c>
      <c r="Z53" s="106">
        <f t="shared" si="132"/>
        <v>4.4380816034359283E-2</v>
      </c>
      <c r="AA53" s="106">
        <f t="shared" si="132"/>
        <v>1.259488084730803</v>
      </c>
      <c r="AB53" s="106">
        <f t="shared" si="132"/>
        <v>1.1543408360128615</v>
      </c>
      <c r="AC53" s="106">
        <f t="shared" si="132"/>
        <v>1.1476826394344068</v>
      </c>
      <c r="AD53" s="106">
        <f t="shared" si="132"/>
        <v>1.1363947909527075</v>
      </c>
      <c r="AE53" s="106">
        <f t="shared" si="132"/>
        <v>0.78359375000000009</v>
      </c>
      <c r="AF53" s="106">
        <f t="shared" si="132"/>
        <v>0.65522388059701497</v>
      </c>
      <c r="AG53" s="106">
        <f t="shared" si="132"/>
        <v>0.60972933430870513</v>
      </c>
      <c r="AH53" s="106">
        <f t="shared" si="132"/>
        <v>0.64324671158164892</v>
      </c>
      <c r="AI53" s="106">
        <f t="shared" si="132"/>
        <v>0.61016206745510293</v>
      </c>
      <c r="AJ53" s="106">
        <f t="shared" si="132"/>
        <v>0.63781184250075151</v>
      </c>
      <c r="AK53" s="106">
        <f t="shared" si="132"/>
        <v>0.33219722790274941</v>
      </c>
      <c r="AL53" s="106">
        <f t="shared" si="132"/>
        <v>0.1286606794221008</v>
      </c>
      <c r="AM53" s="106">
        <f t="shared" si="132"/>
        <v>6.3656147986942413E-2</v>
      </c>
      <c r="AN53" s="106">
        <f t="shared" si="132"/>
        <v>0.15929528353826394</v>
      </c>
      <c r="AO53" s="106">
        <f t="shared" si="132"/>
        <v>0.13013815452839839</v>
      </c>
      <c r="AP53" s="106">
        <f t="shared" si="132"/>
        <v>0.24286455630513748</v>
      </c>
      <c r="AQ53" s="106">
        <f t="shared" si="132"/>
        <v>0.20306905370843986</v>
      </c>
      <c r="AR53" s="106">
        <f t="shared" si="132"/>
        <v>-6.7120468576856052E-2</v>
      </c>
      <c r="AS53" s="106">
        <f t="shared" si="132"/>
        <v>-0.10006036824630249</v>
      </c>
      <c r="AT53" s="106">
        <f t="shared" si="132"/>
        <v>0.1189979123173277</v>
      </c>
      <c r="AU53" s="106">
        <f t="shared" si="132"/>
        <v>0.35788690476190466</v>
      </c>
      <c r="AV53" s="106">
        <f t="shared" si="132"/>
        <v>0.93076531478024771</v>
      </c>
      <c r="AW53" s="106">
        <f t="shared" si="132"/>
        <v>1.0739560623847058</v>
      </c>
      <c r="AX53" s="106">
        <f t="shared" si="132"/>
        <v>0.29639303482587054</v>
      </c>
      <c r="AY53" s="106">
        <f t="shared" si="132"/>
        <v>-1.4872798434442225E-2</v>
      </c>
      <c r="AZ53" s="106">
        <f t="shared" si="132"/>
        <v>-0.25083494462998768</v>
      </c>
      <c r="BA53" s="106">
        <f t="shared" si="132"/>
        <v>-0.32416915986092021</v>
      </c>
      <c r="BB53" s="106">
        <f t="shared" si="132"/>
        <v>-0.41696248680802073</v>
      </c>
      <c r="BC53" s="106">
        <f t="shared" si="132"/>
        <v>-0.15796583234008743</v>
      </c>
      <c r="BD53" s="106">
        <f t="shared" si="132"/>
        <v>-1.7949319568277833E-2</v>
      </c>
      <c r="BE53" s="106">
        <f t="shared" si="132"/>
        <v>0.44077530509691321</v>
      </c>
      <c r="BF53" s="106">
        <f t="shared" si="132"/>
        <v>1.3248313312489715</v>
      </c>
      <c r="BG53" s="106">
        <f t="shared" si="132"/>
        <v>0.65443049919788621</v>
      </c>
      <c r="BH53" s="106">
        <f t="shared" si="132"/>
        <v>0.68008601122924373</v>
      </c>
      <c r="BI53" s="106">
        <f t="shared" si="132"/>
        <v>0.34919448596578651</v>
      </c>
      <c r="BJ53" s="106">
        <f t="shared" si="132"/>
        <v>0.22805775764439407</v>
      </c>
      <c r="BK53" s="106">
        <f>+BK52/BG52-1</f>
        <v>0.15779597813309421</v>
      </c>
      <c r="BL53" s="106">
        <f t="shared" ref="BL53:BO53" si="133">+BL52/BH52-1</f>
        <v>0.12514269394343747</v>
      </c>
      <c r="BM53" s="106">
        <f t="shared" si="133"/>
        <v>0.12231273801111309</v>
      </c>
      <c r="BN53" s="106">
        <f t="shared" si="133"/>
        <v>8.514633452243614E-2</v>
      </c>
      <c r="BO53" s="106">
        <f t="shared" si="133"/>
        <v>0.11645836007546184</v>
      </c>
      <c r="BP53" s="106"/>
      <c r="BQ53" s="106"/>
      <c r="BR53" s="106">
        <f>+BR52/BQ52-1</f>
        <v>-0.55645161290322576</v>
      </c>
      <c r="BS53" s="106">
        <f t="shared" ref="BS53:CI53" si="134">+BS52/BR52-1</f>
        <v>-5.7636363636363637</v>
      </c>
      <c r="BT53" s="106">
        <f t="shared" si="134"/>
        <v>2.9389312977099236</v>
      </c>
      <c r="BU53" s="106">
        <f t="shared" si="134"/>
        <v>0.70251937984496116</v>
      </c>
      <c r="BV53" s="106">
        <f t="shared" si="134"/>
        <v>-0.6937962435970404</v>
      </c>
      <c r="BW53" s="106">
        <f t="shared" si="134"/>
        <v>4.2118959107806688</v>
      </c>
      <c r="BX53" s="106">
        <f t="shared" si="134"/>
        <v>0.78138373751783163</v>
      </c>
      <c r="BY53" s="106">
        <f t="shared" si="134"/>
        <v>0.24624624624624625</v>
      </c>
      <c r="BZ53" s="106">
        <f t="shared" si="134"/>
        <v>0.99630522088353413</v>
      </c>
      <c r="CA53" s="106">
        <f t="shared" si="134"/>
        <v>0.62565381829886535</v>
      </c>
      <c r="CB53" s="106">
        <f t="shared" si="134"/>
        <v>0.23319473319473327</v>
      </c>
      <c r="CC53" s="106">
        <f t="shared" si="134"/>
        <v>0.18556576887568732</v>
      </c>
      <c r="CD53" s="106">
        <f t="shared" si="134"/>
        <v>0.10614165763813643</v>
      </c>
      <c r="CE53" s="106">
        <f t="shared" si="134"/>
        <v>0.43102445593951821</v>
      </c>
      <c r="CF53" s="106">
        <f t="shared" si="134"/>
        <v>-0.28227065642846449</v>
      </c>
      <c r="CG53" s="106">
        <f t="shared" si="134"/>
        <v>0.55182381690308735</v>
      </c>
      <c r="CH53" s="106">
        <f t="shared" si="134"/>
        <v>0.30508092655751362</v>
      </c>
      <c r="CI53" s="106">
        <f t="shared" si="134"/>
        <v>0.11166122069362383</v>
      </c>
      <c r="CJ53" s="56"/>
    </row>
    <row r="54" spans="2:90" x14ac:dyDescent="0.2">
      <c r="B54" s="60" t="s">
        <v>21</v>
      </c>
      <c r="D54" s="107">
        <f t="shared" ref="D54:AI54" si="135">+D52/D9</f>
        <v>0.46956521739130436</v>
      </c>
      <c r="E54" s="107">
        <f t="shared" si="135"/>
        <v>0.50580046403712298</v>
      </c>
      <c r="F54" s="107">
        <f t="shared" si="135"/>
        <v>0.46252676659528907</v>
      </c>
      <c r="G54" s="107">
        <f t="shared" si="135"/>
        <v>0.5978112175102599</v>
      </c>
      <c r="H54" s="107">
        <f t="shared" si="135"/>
        <v>0.53077975376196995</v>
      </c>
      <c r="I54" s="107">
        <f t="shared" si="135"/>
        <v>0.45474860335195533</v>
      </c>
      <c r="J54" s="107">
        <f t="shared" si="135"/>
        <v>0.43396226415094341</v>
      </c>
      <c r="K54" s="107">
        <f t="shared" si="135"/>
        <v>0.48452696728558797</v>
      </c>
      <c r="L54" s="107">
        <f t="shared" si="135"/>
        <v>0.36011342155009451</v>
      </c>
      <c r="M54" s="107">
        <f t="shared" si="135"/>
        <v>-0.62753378378378377</v>
      </c>
      <c r="N54" s="107">
        <f t="shared" si="135"/>
        <v>0.29873217115689382</v>
      </c>
      <c r="O54" s="107">
        <f t="shared" si="135"/>
        <v>0.3299684542586751</v>
      </c>
      <c r="P54" s="107">
        <f t="shared" si="135"/>
        <v>0.25582990397805211</v>
      </c>
      <c r="Q54" s="107">
        <f t="shared" si="135"/>
        <v>0.3099834528405957</v>
      </c>
      <c r="R54" s="107">
        <f t="shared" si="135"/>
        <v>0.36507936507936506</v>
      </c>
      <c r="S54" s="107">
        <f t="shared" si="135"/>
        <v>0.43829787234042555</v>
      </c>
      <c r="T54" s="107">
        <f t="shared" si="135"/>
        <v>0.42965627498001596</v>
      </c>
      <c r="U54" s="107">
        <f t="shared" si="135"/>
        <v>0.47766323024054985</v>
      </c>
      <c r="V54" s="107">
        <f t="shared" si="135"/>
        <v>0.43615360599438024</v>
      </c>
      <c r="W54" s="107">
        <f t="shared" si="135"/>
        <v>0.2942092962866788</v>
      </c>
      <c r="X54" s="107">
        <f t="shared" si="135"/>
        <v>0.26333615580016934</v>
      </c>
      <c r="Y54" s="107">
        <f t="shared" si="135"/>
        <v>0.31494309747649679</v>
      </c>
      <c r="Z54" s="107">
        <f t="shared" si="135"/>
        <v>0.32415018884692293</v>
      </c>
      <c r="AA54" s="107">
        <f t="shared" si="135"/>
        <v>0.43828111624721794</v>
      </c>
      <c r="AB54" s="107">
        <f t="shared" si="135"/>
        <v>0.37346711259754739</v>
      </c>
      <c r="AC54" s="107">
        <f t="shared" si="135"/>
        <v>0.42479801118707272</v>
      </c>
      <c r="AD54" s="107">
        <f t="shared" si="135"/>
        <v>0.44458707744972187</v>
      </c>
      <c r="AE54" s="107">
        <f t="shared" si="135"/>
        <v>0.5183335225337723</v>
      </c>
      <c r="AF54" s="107">
        <f t="shared" si="135"/>
        <v>0.41421812749003983</v>
      </c>
      <c r="AG54" s="107">
        <f t="shared" si="135"/>
        <v>0.47215963952365625</v>
      </c>
      <c r="AH54" s="107">
        <f t="shared" si="135"/>
        <v>0.49593338497288925</v>
      </c>
      <c r="AI54" s="107">
        <f t="shared" si="135"/>
        <v>0.56675917360468697</v>
      </c>
      <c r="AJ54" s="107">
        <f t="shared" ref="AJ54:BK54" si="136">+AJ52/AJ9</f>
        <v>0.45537355841551064</v>
      </c>
      <c r="AK54" s="107">
        <f t="shared" si="136"/>
        <v>0.44312599198851182</v>
      </c>
      <c r="AL54" s="107">
        <f t="shared" si="136"/>
        <v>0.42114081736723247</v>
      </c>
      <c r="AM54" s="107">
        <f t="shared" si="136"/>
        <v>0.46233889085964291</v>
      </c>
      <c r="AN54" s="107">
        <f t="shared" si="136"/>
        <v>0.41898255621144792</v>
      </c>
      <c r="AO54" s="107">
        <f t="shared" si="136"/>
        <v>0.39239606774843067</v>
      </c>
      <c r="AP54" s="107">
        <f t="shared" si="136"/>
        <v>0.40703602991162474</v>
      </c>
      <c r="AQ54" s="107">
        <f t="shared" si="136"/>
        <v>0.44625747082819467</v>
      </c>
      <c r="AR54" s="107">
        <f t="shared" si="136"/>
        <v>0.33224333314540228</v>
      </c>
      <c r="AS54" s="107">
        <f t="shared" si="136"/>
        <v>0.31909883876491679</v>
      </c>
      <c r="AT54" s="107">
        <f t="shared" si="136"/>
        <v>0.37447601304145317</v>
      </c>
      <c r="AU54" s="107">
        <f t="shared" si="136"/>
        <v>0.45507979481333716</v>
      </c>
      <c r="AV54" s="107">
        <f t="shared" si="136"/>
        <v>0.43475602766420846</v>
      </c>
      <c r="AW54" s="107">
        <f t="shared" si="136"/>
        <v>0.42531898063761736</v>
      </c>
      <c r="AX54" s="107">
        <f t="shared" si="136"/>
        <v>0.35928990003447087</v>
      </c>
      <c r="AY54" s="107">
        <f t="shared" si="136"/>
        <v>0.37376377297971547</v>
      </c>
      <c r="AZ54" s="107">
        <f t="shared" si="136"/>
        <v>0.30543213415508097</v>
      </c>
      <c r="BA54" s="107">
        <f t="shared" si="136"/>
        <v>0.28998681562695161</v>
      </c>
      <c r="BB54" s="107">
        <f t="shared" si="136"/>
        <v>0.21927545644800461</v>
      </c>
      <c r="BC54" s="107">
        <f t="shared" si="136"/>
        <v>0.3294574848437743</v>
      </c>
      <c r="BD54" s="107">
        <f t="shared" si="136"/>
        <v>0.29223250130912898</v>
      </c>
      <c r="BE54" s="107">
        <f t="shared" si="136"/>
        <v>0.37632426013312914</v>
      </c>
      <c r="BF54" s="107">
        <f>+BF52/BF9</f>
        <v>0.41375270895566096</v>
      </c>
      <c r="BG54" s="107">
        <f>+BG52/BG9</f>
        <v>0.43708708334372115</v>
      </c>
      <c r="BH54" s="107">
        <f>+BH52/BH9</f>
        <v>0.38579070086407902</v>
      </c>
      <c r="BI54" s="107">
        <f>+BI52/BI9</f>
        <v>0.41583271480125927</v>
      </c>
      <c r="BJ54" s="107">
        <f>+BJ52/BJ9</f>
        <v>0.4274557146024785</v>
      </c>
      <c r="BK54" s="107">
        <f t="shared" si="136"/>
        <v>0.43329779966235049</v>
      </c>
      <c r="BL54" s="107">
        <f t="shared" ref="BL54:BO54" si="137">+BL52/BL9</f>
        <v>0.3832295861223704</v>
      </c>
      <c r="BM54" s="107">
        <f t="shared" si="137"/>
        <v>0.41252172312094448</v>
      </c>
      <c r="BN54" s="107">
        <f t="shared" si="137"/>
        <v>0.4125388768601545</v>
      </c>
      <c r="BO54" s="107">
        <f t="shared" si="137"/>
        <v>0.42816493972686326</v>
      </c>
      <c r="BP54" s="107"/>
      <c r="BQ54" s="107">
        <f t="shared" ref="BQ54:CH54" si="138">+BQ52/BQ9</f>
        <v>-0.81045751633986929</v>
      </c>
      <c r="BR54" s="107">
        <f t="shared" si="138"/>
        <v>-0.20220588235294118</v>
      </c>
      <c r="BS54" s="107">
        <f t="shared" si="138"/>
        <v>0.33719433719433717</v>
      </c>
      <c r="BT54" s="107">
        <f t="shared" si="138"/>
        <v>0.52279635258358659</v>
      </c>
      <c r="BU54" s="107">
        <f t="shared" si="138"/>
        <v>0.47345728914039342</v>
      </c>
      <c r="BV54" s="107">
        <f t="shared" si="138"/>
        <v>0.10571821575948123</v>
      </c>
      <c r="BW54" s="107">
        <f t="shared" si="138"/>
        <v>0.35619918699186992</v>
      </c>
      <c r="BX54" s="107">
        <f t="shared" si="138"/>
        <v>0.40068987646398202</v>
      </c>
      <c r="BY54" s="107">
        <f t="shared" si="138"/>
        <v>0.34724159089641321</v>
      </c>
      <c r="BZ54" s="107">
        <f t="shared" si="138"/>
        <v>0.44963456111151312</v>
      </c>
      <c r="CA54" s="107">
        <f t="shared" si="138"/>
        <v>0.49693749538779425</v>
      </c>
      <c r="CB54" s="107">
        <f t="shared" si="138"/>
        <v>0.44616569361366809</v>
      </c>
      <c r="CC54" s="107">
        <f t="shared" si="138"/>
        <v>0.41778293279771417</v>
      </c>
      <c r="CD54" s="107">
        <f t="shared" si="138"/>
        <v>0.38004559942302774</v>
      </c>
      <c r="CE54" s="107">
        <f t="shared" si="138"/>
        <v>0.39645040660058173</v>
      </c>
      <c r="CF54" s="107">
        <f t="shared" si="138"/>
        <v>0.28776509531854316</v>
      </c>
      <c r="CG54" s="107">
        <f t="shared" si="138"/>
        <v>0.38600899919200005</v>
      </c>
      <c r="CH54" s="107">
        <f t="shared" si="138"/>
        <v>0.41702785710705786</v>
      </c>
      <c r="CI54" s="107">
        <f t="shared" ref="CI54" si="139">+CI52/CI9</f>
        <v>0.41045314383698139</v>
      </c>
      <c r="CJ54" s="64">
        <f>+CH9-CH52</f>
        <v>95002.006410367132</v>
      </c>
      <c r="CK54" s="107">
        <f>11000/40300</f>
        <v>0.27295285359801491</v>
      </c>
    </row>
    <row r="55" spans="2:90" x14ac:dyDescent="0.2">
      <c r="B55" s="60" t="s">
        <v>22</v>
      </c>
      <c r="D55" s="107"/>
      <c r="E55" s="107"/>
      <c r="F55" s="107"/>
      <c r="G55" s="107"/>
      <c r="H55" s="107">
        <f t="shared" ref="H55:AM55" si="140">+(H52-D52)/(H9-D9)</f>
        <v>0.58549222797927458</v>
      </c>
      <c r="I55" s="107">
        <f t="shared" si="140"/>
        <v>0.40732758620689657</v>
      </c>
      <c r="J55" s="107">
        <f t="shared" si="140"/>
        <v>0.40657084188911702</v>
      </c>
      <c r="K55" s="107">
        <f t="shared" si="140"/>
        <v>0.27750000000000002</v>
      </c>
      <c r="L55" s="107">
        <f t="shared" si="140"/>
        <v>-2.1406727828746176E-2</v>
      </c>
      <c r="M55" s="107">
        <f t="shared" si="140"/>
        <v>-3.9792387543252596</v>
      </c>
      <c r="N55" s="107">
        <f t="shared" si="140"/>
        <v>-0.12012987012987013</v>
      </c>
      <c r="O55" s="107">
        <f t="shared" si="140"/>
        <v>-5.5066079295154183E-2</v>
      </c>
      <c r="P55" s="107">
        <f t="shared" si="140"/>
        <v>-0.02</v>
      </c>
      <c r="Q55" s="107">
        <f t="shared" si="140"/>
        <v>2.0747217806041336</v>
      </c>
      <c r="R55" s="107">
        <f t="shared" si="140"/>
        <v>0.47612732095490717</v>
      </c>
      <c r="S55" s="107">
        <f t="shared" si="140"/>
        <v>0.61</v>
      </c>
      <c r="T55" s="107">
        <f t="shared" si="140"/>
        <v>0.67241379310344829</v>
      </c>
      <c r="U55" s="107">
        <f t="shared" si="140"/>
        <v>0.75478577939835911</v>
      </c>
      <c r="V55" s="107">
        <f t="shared" si="140"/>
        <v>0.55686604886267899</v>
      </c>
      <c r="W55" s="107">
        <f t="shared" si="140"/>
        <v>0</v>
      </c>
      <c r="X55" s="107">
        <f t="shared" si="140"/>
        <v>-0.13640730067243034</v>
      </c>
      <c r="Y55" s="107">
        <f t="shared" si="140"/>
        <v>-0.10335689045936396</v>
      </c>
      <c r="Z55" s="107">
        <f t="shared" si="140"/>
        <v>4.7765793528505393E-2</v>
      </c>
      <c r="AA55" s="107">
        <f t="shared" si="140"/>
        <v>0.71708542713567835</v>
      </c>
      <c r="AB55" s="107">
        <f t="shared" si="140"/>
        <v>0.58564437194127239</v>
      </c>
      <c r="AC55" s="107">
        <f t="shared" si="140"/>
        <v>0.61027568922305764</v>
      </c>
      <c r="AD55" s="107">
        <f t="shared" si="140"/>
        <v>0.66055776892430274</v>
      </c>
      <c r="AE55" s="107">
        <f t="shared" si="140"/>
        <v>0.67587601078167114</v>
      </c>
      <c r="AF55" s="107">
        <f t="shared" si="140"/>
        <v>0.49698113207547168</v>
      </c>
      <c r="AG55" s="107">
        <f t="shared" si="140"/>
        <v>0.5778162911611785</v>
      </c>
      <c r="AH55" s="107">
        <f t="shared" si="140"/>
        <v>0.6044618631293337</v>
      </c>
      <c r="AI55" s="107">
        <f t="shared" si="140"/>
        <v>0.66922892145087676</v>
      </c>
      <c r="AJ55" s="107">
        <f t="shared" si="140"/>
        <v>0.53940010167768171</v>
      </c>
      <c r="AK55" s="107">
        <f t="shared" si="140"/>
        <v>0.37391304347826088</v>
      </c>
      <c r="AL55" s="107">
        <f t="shared" si="140"/>
        <v>0.19388055310385408</v>
      </c>
      <c r="AM55" s="107">
        <f t="shared" si="140"/>
        <v>0.11872146118721461</v>
      </c>
      <c r="AN55" s="107">
        <f t="shared" ref="AN55:BK55" si="141">+(AN52-AJ52)/(AN9-AJ9)</f>
        <v>0.27900996464159433</v>
      </c>
      <c r="AO55" s="107">
        <f t="shared" si="141"/>
        <v>0.20875512995896034</v>
      </c>
      <c r="AP55" s="107">
        <f t="shared" si="141"/>
        <v>0.35770700636942676</v>
      </c>
      <c r="AQ55" s="107">
        <f t="shared" si="141"/>
        <v>0.38099808061420348</v>
      </c>
      <c r="AR55" s="107">
        <f t="shared" si="141"/>
        <v>-0.15939849624060151</v>
      </c>
      <c r="AS55" s="107">
        <f t="shared" si="141"/>
        <v>-0.36812881732370906</v>
      </c>
      <c r="AT55" s="107">
        <f t="shared" si="141"/>
        <v>0.22393923520167627</v>
      </c>
      <c r="AU55" s="107">
        <f t="shared" si="141"/>
        <v>0.48168812589413446</v>
      </c>
      <c r="AV55" s="107">
        <f t="shared" si="141"/>
        <v>0.65034384633625797</v>
      </c>
      <c r="AW55" s="107">
        <f t="shared" si="141"/>
        <v>0.61636188642925893</v>
      </c>
      <c r="AX55" s="107">
        <f t="shared" si="141"/>
        <v>0.31604774535809016</v>
      </c>
      <c r="AY55" s="107">
        <f t="shared" si="141"/>
        <v>-3.3934631184140022E-2</v>
      </c>
      <c r="AZ55" s="107">
        <f t="shared" si="141"/>
        <v>-1.6430627518710421</v>
      </c>
      <c r="BA55" s="107">
        <f t="shared" si="141"/>
        <v>15.72156862745098</v>
      </c>
      <c r="BB55" s="107">
        <f t="shared" si="141"/>
        <v>3.3533950617283952</v>
      </c>
      <c r="BC55" s="107">
        <f t="shared" si="141"/>
        <v>1.3200531208499335</v>
      </c>
      <c r="BD55" s="107">
        <f t="shared" si="141"/>
        <v>-0.20759837177747625</v>
      </c>
      <c r="BE55" s="107">
        <f t="shared" si="141"/>
        <v>1.1595845136921623</v>
      </c>
      <c r="BF55" s="107">
        <f t="shared" si="141"/>
        <v>1.251710199004975</v>
      </c>
      <c r="BG55" s="107">
        <f t="shared" si="141"/>
        <v>0.87276617165869619</v>
      </c>
      <c r="BH55" s="107">
        <f t="shared" si="141"/>
        <v>0.72893725992317537</v>
      </c>
      <c r="BI55" s="107">
        <f t="shared" si="141"/>
        <v>0.59459841628959276</v>
      </c>
      <c r="BJ55" s="107">
        <f t="shared" si="141"/>
        <v>0.50007760360080711</v>
      </c>
      <c r="BK55" s="107">
        <f t="shared" si="141"/>
        <v>0.41073194932147999</v>
      </c>
      <c r="BL55" s="107">
        <f t="shared" ref="BL55" si="142">+(BL52-BH52)/(BL9-BH9)</f>
        <v>0.36392402166165377</v>
      </c>
      <c r="BM55" s="107">
        <f t="shared" ref="BM55" si="143">+(BM52-BI52)/(BM9-BI9)</f>
        <v>0.38730869573543142</v>
      </c>
      <c r="BN55" s="107">
        <f t="shared" ref="BN55" si="144">+(BN52-BJ52)/(BN9-BJ9)</f>
        <v>0.29261292249356474</v>
      </c>
      <c r="BO55" s="107">
        <f t="shared" ref="BO55" si="145">+(BO52-BK52)/(BO9-BK9)</f>
        <v>0.38863351141138675</v>
      </c>
      <c r="BP55" s="107"/>
      <c r="BQ55" s="107"/>
      <c r="BR55" s="107">
        <f t="shared" ref="BR55:CI55" si="146">+(BR52-BQ52)/(BR9-BQ9)</f>
        <v>0.57983193277310929</v>
      </c>
      <c r="BS55" s="107">
        <f t="shared" si="146"/>
        <v>0.62772277227722773</v>
      </c>
      <c r="BT55" s="107">
        <f t="shared" si="146"/>
        <v>0.64327485380116955</v>
      </c>
      <c r="BU55" s="107">
        <f t="shared" si="146"/>
        <v>0.41738629821531376</v>
      </c>
      <c r="BV55" s="107">
        <f t="shared" si="146"/>
        <v>-0.88461538461538458</v>
      </c>
      <c r="BW55" s="107">
        <f t="shared" si="146"/>
        <v>0.81422924901185767</v>
      </c>
      <c r="BX55" s="107">
        <f t="shared" si="146"/>
        <v>0.47692642577274708</v>
      </c>
      <c r="BY55" s="107">
        <f t="shared" si="146"/>
        <v>0.2252334737227614</v>
      </c>
      <c r="BZ55" s="107">
        <f t="shared" si="146"/>
        <v>0.63865719287406031</v>
      </c>
      <c r="CA55" s="107">
        <f t="shared" si="146"/>
        <v>0.59738762965808678</v>
      </c>
      <c r="CB55" s="107">
        <f t="shared" si="146"/>
        <v>0.31024036878498518</v>
      </c>
      <c r="CC55" s="107">
        <f t="shared" si="146"/>
        <v>0.31112457096709067</v>
      </c>
      <c r="CD55" s="107">
        <f t="shared" si="146"/>
        <v>0.20531796450324186</v>
      </c>
      <c r="CE55" s="107">
        <f t="shared" si="146"/>
        <v>0.44057191127240874</v>
      </c>
      <c r="CF55" s="107">
        <f t="shared" si="146"/>
        <v>9.997727272727273</v>
      </c>
      <c r="CG55" s="107">
        <f t="shared" si="146"/>
        <v>1.0123004592171441</v>
      </c>
      <c r="CH55" s="107">
        <f t="shared" si="146"/>
        <v>0.56615125526596888</v>
      </c>
      <c r="CI55" s="107">
        <f t="shared" si="146"/>
        <v>0.35967061361479918</v>
      </c>
      <c r="CJ55" s="64">
        <f>+CJ54+1400+235</f>
        <v>96637.006410367132</v>
      </c>
    </row>
    <row r="56" spans="2:90" x14ac:dyDescent="0.2">
      <c r="B56" s="60"/>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202"/>
      <c r="BI56" s="107"/>
      <c r="BJ56" s="107"/>
      <c r="BK56" s="107"/>
      <c r="BL56" s="107"/>
      <c r="BM56" s="107"/>
      <c r="BN56" s="107"/>
      <c r="BO56" s="107"/>
      <c r="BP56" s="107"/>
      <c r="BQ56" s="107"/>
      <c r="BR56" s="107"/>
      <c r="BS56" s="107"/>
      <c r="BT56" s="107"/>
      <c r="BU56" s="107"/>
      <c r="BV56" s="107"/>
      <c r="BW56" s="107"/>
      <c r="BX56" s="107"/>
      <c r="BY56" s="107"/>
      <c r="BZ56" s="107"/>
      <c r="CA56" s="107"/>
      <c r="CB56" s="107"/>
      <c r="CC56" s="107"/>
      <c r="CD56" s="107"/>
      <c r="CE56" s="107"/>
      <c r="CF56" s="107"/>
      <c r="CG56" s="107"/>
      <c r="CH56" s="107"/>
      <c r="CI56" s="107"/>
    </row>
    <row r="57" spans="2:90" x14ac:dyDescent="0.2">
      <c r="B57" s="62" t="s">
        <v>19</v>
      </c>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c r="BO57" s="107"/>
      <c r="BP57" s="107"/>
      <c r="BQ57" s="107"/>
      <c r="BR57" s="107"/>
      <c r="BS57" s="107"/>
      <c r="BT57" s="107"/>
      <c r="BU57" s="107"/>
      <c r="BV57" s="107"/>
      <c r="BW57" s="107"/>
      <c r="BX57" s="107"/>
      <c r="BY57" s="107"/>
      <c r="BZ57" s="107"/>
      <c r="CA57" s="107"/>
      <c r="CB57" s="107"/>
      <c r="CC57" s="107"/>
      <c r="CD57" s="107"/>
      <c r="CE57" s="107"/>
      <c r="CF57" s="107"/>
      <c r="CG57" s="107"/>
      <c r="CH57" s="202"/>
      <c r="CI57" s="202"/>
    </row>
    <row r="58" spans="2:90" x14ac:dyDescent="0.2">
      <c r="B58" s="60" t="s">
        <v>369</v>
      </c>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c r="AL58" s="107"/>
      <c r="AM58" s="107"/>
      <c r="AN58" s="107"/>
      <c r="AO58" s="107"/>
      <c r="AP58" s="107"/>
      <c r="AQ58" s="107"/>
      <c r="AR58" s="107"/>
      <c r="AS58" s="107"/>
      <c r="AT58" s="107"/>
      <c r="AU58" s="107"/>
      <c r="AV58" s="107"/>
      <c r="AW58" s="107"/>
      <c r="AX58" s="107"/>
      <c r="AY58" s="107"/>
      <c r="AZ58" s="107"/>
      <c r="BA58" s="107"/>
      <c r="BB58" s="107"/>
      <c r="BC58" s="107"/>
      <c r="BD58" s="107"/>
      <c r="BE58" s="107"/>
      <c r="BF58" s="107"/>
      <c r="BG58" s="202"/>
      <c r="BH58" s="100">
        <f>+BH52</f>
        <v>14064</v>
      </c>
      <c r="BI58" s="100">
        <f>+BI52</f>
        <v>16247</v>
      </c>
      <c r="BJ58" s="100">
        <f>+BJ52</f>
        <v>17350</v>
      </c>
      <c r="BK58" s="202">
        <f>_xll.ciqfunctions.udf.CIQ($B$2, "IQ_EBIT_EST", BK$1)</f>
        <v>19839.67078</v>
      </c>
      <c r="BL58" s="202">
        <f>_xll.ciqfunctions.udf.CIQ($B$2, "IQ_EBIT_EST", BL$1)</f>
        <v>15322.957</v>
      </c>
      <c r="BM58" s="202">
        <f>_xll.ciqfunctions.udf.CIQ($B$2, "IQ_EBIT_EST", BM$1)</f>
        <v>16727.627260000001</v>
      </c>
      <c r="BN58" s="202">
        <f>_xll.ciqfunctions.udf.CIQ($B$2, "IQ_EBIT_EST", BN$1)</f>
        <v>16927.994119999999</v>
      </c>
      <c r="BO58" s="202">
        <f>_xll.ciqfunctions.udf.CIQ($B$2, "IQ_EBIT_EST", BO$1)</f>
        <v>21866.79306</v>
      </c>
      <c r="BP58" s="107"/>
      <c r="BQ58" s="107"/>
      <c r="BR58" s="107"/>
      <c r="BS58" s="107"/>
      <c r="BT58" s="107"/>
      <c r="BU58" s="107"/>
      <c r="BV58" s="107"/>
      <c r="BW58" s="107"/>
      <c r="BX58" s="107"/>
      <c r="BY58" s="107"/>
      <c r="BZ58" s="107"/>
      <c r="CA58" s="107"/>
      <c r="CB58" s="107"/>
      <c r="CC58" s="107"/>
      <c r="CD58" s="107"/>
      <c r="CE58" s="107"/>
      <c r="CF58" s="107"/>
      <c r="CG58" s="202"/>
      <c r="CH58" s="202">
        <f>_xll.ciqfunctions.udf.CIQ($B$2, "IQ_EBIT_EST", CH$1)</f>
        <v>65847.053799999994</v>
      </c>
      <c r="CI58" s="202">
        <f>_xll.ciqfunctions.udf.CIQ($B$2, "IQ_EBIT_EST", CI$1)</f>
        <v>73366.442840000003</v>
      </c>
      <c r="CJ58" s="64">
        <f>+CH9-CH58</f>
        <v>97114.431698996545</v>
      </c>
      <c r="CK58" s="64"/>
    </row>
    <row r="59" spans="2:90" x14ac:dyDescent="0.2">
      <c r="B59" s="101" t="s">
        <v>17</v>
      </c>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c r="AL59" s="107"/>
      <c r="AM59" s="107"/>
      <c r="AN59" s="107"/>
      <c r="AO59" s="107"/>
      <c r="AP59" s="107"/>
      <c r="AQ59" s="107"/>
      <c r="AR59" s="107"/>
      <c r="AS59" s="107"/>
      <c r="AT59" s="107"/>
      <c r="AU59" s="107"/>
      <c r="AV59" s="107"/>
      <c r="AW59" s="107"/>
      <c r="AX59" s="107"/>
      <c r="AY59" s="107"/>
      <c r="AZ59" s="107"/>
      <c r="BA59" s="107"/>
      <c r="BB59" s="107"/>
      <c r="BC59" s="107"/>
      <c r="BD59" s="107"/>
      <c r="BE59" s="107"/>
      <c r="BF59" s="107"/>
      <c r="BG59" s="106"/>
      <c r="BH59" s="106">
        <f>+IFERROR(BH58/BD52-1,"n/a")</f>
        <v>0.68008601122924373</v>
      </c>
      <c r="BI59" s="106">
        <f>+IFERROR(BI58/BE52-1,"n/a")</f>
        <v>0.34919448596578651</v>
      </c>
      <c r="BJ59" s="106">
        <f>+IFERROR(BJ58/BF52-1,"n/a")</f>
        <v>0.22805775764439407</v>
      </c>
      <c r="BK59" s="106">
        <f>+IFERROR(BK58/BG52-1,"n/a")</f>
        <v>0.13162621378051576</v>
      </c>
      <c r="BL59" s="106">
        <f t="shared" ref="BL59:BO59" si="147">+IFERROR(BL58/BH52-1,"n/a")</f>
        <v>8.9516282707622352E-2</v>
      </c>
      <c r="BM59" s="106">
        <f t="shared" si="147"/>
        <v>2.9582523542807992E-2</v>
      </c>
      <c r="BN59" s="106">
        <f t="shared" si="147"/>
        <v>-2.4323105475504314E-2</v>
      </c>
      <c r="BO59" s="106">
        <f t="shared" si="147"/>
        <v>7.7262634531525931E-2</v>
      </c>
      <c r="BU59" s="49"/>
      <c r="CG59" s="106"/>
      <c r="CH59" s="106">
        <f>+IFERROR(CH58/CG52-1,"n/a")</f>
        <v>0.26451431259961966</v>
      </c>
      <c r="CI59" s="106">
        <f>+IFERROR(CI58/CH52-1,"n/a")</f>
        <v>7.9561583224013521E-2</v>
      </c>
      <c r="CL59" s="56">
        <f>6500/CG81</f>
        <v>0.12322274881516587</v>
      </c>
    </row>
    <row r="60" spans="2:90" x14ac:dyDescent="0.2">
      <c r="B60" s="101" t="s">
        <v>21</v>
      </c>
      <c r="H60" s="49"/>
      <c r="I60" s="49"/>
      <c r="J60" s="49"/>
      <c r="K60" s="49"/>
      <c r="L60" s="49"/>
      <c r="AB60" s="49"/>
      <c r="AC60" s="49"/>
      <c r="AD60" s="49"/>
      <c r="BG60" s="107"/>
      <c r="BH60" s="107">
        <f>+IFERROR(BH58/BH18,"n/a")</f>
        <v>0.38579070086407902</v>
      </c>
      <c r="BI60" s="107">
        <f>+IFERROR(BI58/BI18,"n/a")</f>
        <v>0.41583271480125927</v>
      </c>
      <c r="BJ60" s="107">
        <f>+IFERROR(BJ58/BJ18,"n/a")</f>
        <v>0.4274557146024785</v>
      </c>
      <c r="BK60" s="107">
        <f>+IFERROR(BK58/BK18,"n/a")</f>
        <v>0.42217789691675894</v>
      </c>
      <c r="BL60" s="107">
        <f t="shared" ref="BL60:BO60" si="148">+IFERROR(BL58/BL18,"n/a")</f>
        <v>0.37046500491007978</v>
      </c>
      <c r="BM60" s="107">
        <f t="shared" si="148"/>
        <v>0.37577152442223377</v>
      </c>
      <c r="BN60" s="107">
        <f t="shared" si="148"/>
        <v>0.37039233093100099</v>
      </c>
      <c r="BO60" s="107">
        <f t="shared" si="148"/>
        <v>0.40309047902666656</v>
      </c>
      <c r="BP60" s="107"/>
      <c r="BU60" s="49"/>
      <c r="CG60" s="107"/>
      <c r="CH60" s="107">
        <f>+IFERROR(CH58/CH18,"n/a")</f>
        <v>0.40398970205120222</v>
      </c>
      <c r="CI60" s="107">
        <f>+IFERROR(CI58/CI18,"n/a")</f>
        <v>0.39227442172496235</v>
      </c>
    </row>
    <row r="61" spans="2:90" x14ac:dyDescent="0.2">
      <c r="B61" s="6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c r="AV61" s="107"/>
      <c r="AW61" s="107"/>
      <c r="AX61" s="107"/>
      <c r="AY61" s="107"/>
      <c r="AZ61" s="107"/>
      <c r="BA61" s="107"/>
      <c r="BB61" s="107"/>
      <c r="BC61" s="107"/>
      <c r="BD61" s="107"/>
      <c r="BE61" s="107"/>
      <c r="BF61" s="107"/>
      <c r="BG61" s="107"/>
      <c r="BH61" s="107"/>
      <c r="BI61" s="107"/>
      <c r="BJ61" s="107"/>
      <c r="BK61" s="107"/>
      <c r="BL61" s="107"/>
      <c r="BM61" s="107"/>
      <c r="BN61" s="107"/>
      <c r="BO61" s="107"/>
      <c r="BP61" s="107"/>
      <c r="BQ61" s="107"/>
      <c r="BR61" s="107"/>
      <c r="BS61" s="107"/>
      <c r="BT61" s="107"/>
      <c r="BU61" s="107"/>
      <c r="BV61" s="107"/>
      <c r="BW61" s="107"/>
      <c r="BX61" s="107"/>
      <c r="BY61" s="107"/>
      <c r="BZ61" s="107"/>
      <c r="CA61" s="107"/>
      <c r="CB61" s="107"/>
      <c r="CC61" s="107"/>
      <c r="CD61" s="107"/>
      <c r="CE61" s="107"/>
      <c r="CF61" s="107"/>
      <c r="CG61" s="107"/>
      <c r="CH61" s="107"/>
      <c r="CI61" s="107"/>
    </row>
    <row r="62" spans="2:90" x14ac:dyDescent="0.2">
      <c r="B62" s="62" t="s">
        <v>19</v>
      </c>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07"/>
      <c r="BG62" s="107"/>
      <c r="BH62" s="107"/>
      <c r="BI62" s="107"/>
      <c r="BJ62" s="107"/>
      <c r="BK62" s="107"/>
      <c r="BL62" s="107"/>
      <c r="BM62" s="107"/>
      <c r="BN62" s="107"/>
      <c r="BO62" s="107"/>
      <c r="BP62" s="107"/>
      <c r="BQ62" s="107"/>
      <c r="BR62" s="107"/>
      <c r="BS62" s="107"/>
      <c r="BT62" s="107"/>
      <c r="BU62" s="107"/>
      <c r="BV62" s="107"/>
      <c r="BW62" s="107"/>
      <c r="BX62" s="107"/>
      <c r="BY62" s="107"/>
      <c r="BZ62" s="107"/>
      <c r="CA62" s="107"/>
      <c r="CB62" s="107"/>
      <c r="CC62" s="107"/>
      <c r="CD62" s="107"/>
      <c r="CE62" s="107"/>
      <c r="CF62" s="107"/>
      <c r="CG62" s="107"/>
      <c r="CH62" s="107"/>
      <c r="CI62" s="107"/>
    </row>
    <row r="63" spans="2:90" x14ac:dyDescent="0.2">
      <c r="B63" s="60" t="s">
        <v>342</v>
      </c>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c r="AT63" s="107"/>
      <c r="AU63" s="107"/>
      <c r="AV63" s="107"/>
      <c r="AW63" s="107"/>
      <c r="AX63" s="107"/>
      <c r="AY63" s="107"/>
      <c r="AZ63" s="107"/>
      <c r="BA63" s="115">
        <v>252</v>
      </c>
      <c r="BB63" s="115">
        <f>482-BA63</f>
        <v>230</v>
      </c>
      <c r="BC63" s="144">
        <v>210</v>
      </c>
      <c r="BD63" s="144">
        <v>190</v>
      </c>
      <c r="BE63" s="144">
        <v>0</v>
      </c>
      <c r="BF63" s="144">
        <v>0</v>
      </c>
      <c r="BG63" s="144">
        <v>0</v>
      </c>
      <c r="BH63" s="144">
        <v>0</v>
      </c>
      <c r="BI63" s="144">
        <v>0</v>
      </c>
      <c r="BJ63" s="144">
        <v>0</v>
      </c>
      <c r="BK63" s="144">
        <v>0</v>
      </c>
      <c r="BL63" s="144">
        <v>0</v>
      </c>
      <c r="BM63" s="144">
        <v>0</v>
      </c>
      <c r="BN63" s="144">
        <v>0</v>
      </c>
      <c r="BO63" s="144">
        <v>0</v>
      </c>
      <c r="BP63" s="107"/>
      <c r="BQ63" s="107"/>
      <c r="BR63" s="107"/>
      <c r="BS63" s="107"/>
      <c r="BT63" s="107"/>
      <c r="BU63" s="107"/>
      <c r="BV63" s="107"/>
      <c r="BW63" s="107"/>
      <c r="BX63" s="107"/>
      <c r="BY63" s="107"/>
      <c r="BZ63" s="107"/>
      <c r="CA63" s="107"/>
      <c r="CB63" s="107"/>
      <c r="CC63" s="107"/>
      <c r="CD63" s="107"/>
      <c r="CE63" s="107"/>
      <c r="CF63" s="100">
        <f>+SUM(AZ63:BC63)</f>
        <v>692</v>
      </c>
      <c r="CG63" s="100">
        <f>+SUM(BD63:BG63)</f>
        <v>190</v>
      </c>
      <c r="CH63" s="100">
        <f>+SUM(BH63:BK63)</f>
        <v>0</v>
      </c>
      <c r="CI63" s="100">
        <f>+SUM(BL63:BO63)</f>
        <v>0</v>
      </c>
    </row>
    <row r="64" spans="2:90" ht="13.5" x14ac:dyDescent="0.35">
      <c r="B64" s="60" t="s">
        <v>343</v>
      </c>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07"/>
      <c r="AW64" s="107"/>
      <c r="AX64" s="107"/>
      <c r="AY64" s="107"/>
      <c r="AZ64" s="107"/>
      <c r="BA64" s="192">
        <v>0</v>
      </c>
      <c r="BB64" s="192">
        <v>0</v>
      </c>
      <c r="BC64" s="102">
        <f>+BC65-BC63</f>
        <v>168</v>
      </c>
      <c r="BD64" s="103">
        <v>150</v>
      </c>
      <c r="BE64" s="103">
        <v>150</v>
      </c>
      <c r="BF64" s="103">
        <v>150</v>
      </c>
      <c r="BG64" s="103">
        <v>0</v>
      </c>
      <c r="BH64" s="103">
        <v>0</v>
      </c>
      <c r="BI64" s="103">
        <v>0</v>
      </c>
      <c r="BJ64" s="103">
        <v>0</v>
      </c>
      <c r="BK64" s="103">
        <v>0</v>
      </c>
      <c r="BL64" s="103">
        <v>0</v>
      </c>
      <c r="BM64" s="103">
        <v>0</v>
      </c>
      <c r="BN64" s="103">
        <v>0</v>
      </c>
      <c r="BO64" s="103">
        <v>0</v>
      </c>
      <c r="BP64" s="107"/>
      <c r="BQ64" s="107"/>
      <c r="BR64" s="107"/>
      <c r="BS64" s="107"/>
      <c r="BT64" s="107"/>
      <c r="BU64" s="107"/>
      <c r="BV64" s="107"/>
      <c r="BW64" s="107"/>
      <c r="BX64" s="107"/>
      <c r="BY64" s="107"/>
      <c r="BZ64" s="107"/>
      <c r="CA64" s="107"/>
      <c r="CB64" s="107"/>
      <c r="CC64" s="107"/>
      <c r="CD64" s="107"/>
      <c r="CE64" s="107"/>
      <c r="CF64" s="102">
        <f>+SUM(AZ64:BC64)</f>
        <v>168</v>
      </c>
      <c r="CG64" s="102">
        <f>+SUM(BD64:BG64)</f>
        <v>450</v>
      </c>
      <c r="CH64" s="102">
        <f>+SUM(BH64:BK64)</f>
        <v>0</v>
      </c>
      <c r="CI64" s="102">
        <f>+SUM(BL64:BO64)</f>
        <v>0</v>
      </c>
    </row>
    <row r="65" spans="2:87" x14ac:dyDescent="0.2">
      <c r="B65" s="101" t="s">
        <v>344</v>
      </c>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c r="AT65" s="107"/>
      <c r="AU65" s="107"/>
      <c r="AV65" s="107"/>
      <c r="AW65" s="107"/>
      <c r="AX65" s="107"/>
      <c r="AY65" s="107"/>
      <c r="AZ65" s="107"/>
      <c r="BA65" s="191">
        <f>SUM(BA63:BA64)</f>
        <v>252</v>
      </c>
      <c r="BB65" s="191">
        <f>SUM(BB63:BB64)</f>
        <v>230</v>
      </c>
      <c r="BC65" s="115">
        <f>860-SUM(BA63:BB63)</f>
        <v>378</v>
      </c>
      <c r="BD65" s="191">
        <f t="shared" ref="BD65:BK65" si="149">SUM(BD63:BD64)</f>
        <v>340</v>
      </c>
      <c r="BE65" s="191">
        <f t="shared" si="149"/>
        <v>150</v>
      </c>
      <c r="BF65" s="191">
        <f t="shared" si="149"/>
        <v>150</v>
      </c>
      <c r="BG65" s="191">
        <f t="shared" si="149"/>
        <v>0</v>
      </c>
      <c r="BH65" s="191">
        <f t="shared" si="149"/>
        <v>0</v>
      </c>
      <c r="BI65" s="191">
        <f t="shared" si="149"/>
        <v>0</v>
      </c>
      <c r="BJ65" s="191">
        <f t="shared" si="149"/>
        <v>0</v>
      </c>
      <c r="BK65" s="191">
        <f t="shared" si="149"/>
        <v>0</v>
      </c>
      <c r="BL65" s="191">
        <f t="shared" ref="BL65:BO65" si="150">SUM(BL63:BL64)</f>
        <v>0</v>
      </c>
      <c r="BM65" s="191">
        <f t="shared" si="150"/>
        <v>0</v>
      </c>
      <c r="BN65" s="191">
        <f t="shared" si="150"/>
        <v>0</v>
      </c>
      <c r="BO65" s="191">
        <f t="shared" si="150"/>
        <v>0</v>
      </c>
      <c r="BP65" s="107"/>
      <c r="BQ65" s="107"/>
      <c r="BR65" s="107"/>
      <c r="BS65" s="107"/>
      <c r="BT65" s="107"/>
      <c r="BU65" s="107"/>
      <c r="BV65" s="107"/>
      <c r="BW65" s="107"/>
      <c r="BX65" s="107"/>
      <c r="BY65" s="107"/>
      <c r="BZ65" s="107"/>
      <c r="CA65" s="107"/>
      <c r="CB65" s="107"/>
      <c r="CC65" s="107"/>
      <c r="CD65" s="107"/>
      <c r="CE65" s="107"/>
      <c r="CF65" s="193">
        <f>+SUM(AZ65:BC65)</f>
        <v>860</v>
      </c>
      <c r="CG65" s="193">
        <f>+SUM(BD65:BG65)</f>
        <v>640</v>
      </c>
      <c r="CH65" s="193">
        <f>+SUM(BH65:BK65)</f>
        <v>0</v>
      </c>
      <c r="CI65" s="193">
        <f>+SUM(BL65:BO65)</f>
        <v>0</v>
      </c>
    </row>
    <row r="66" spans="2:87" x14ac:dyDescent="0.2">
      <c r="B66" s="67" t="s">
        <v>345</v>
      </c>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c r="AL66" s="107"/>
      <c r="AM66" s="107"/>
      <c r="AN66" s="107"/>
      <c r="AO66" s="107"/>
      <c r="AP66" s="107"/>
      <c r="AQ66" s="107"/>
      <c r="AR66" s="107"/>
      <c r="AS66" s="107"/>
      <c r="AT66" s="107"/>
      <c r="AU66" s="107"/>
      <c r="AV66" s="107"/>
      <c r="AW66" s="107"/>
      <c r="AX66" s="107"/>
      <c r="AY66" s="107"/>
      <c r="AZ66" s="107"/>
      <c r="BA66" s="106">
        <f t="shared" ref="BA66:BK66" si="151">+BA65/AW52</f>
        <v>2.0376809250424517E-2</v>
      </c>
      <c r="BB66" s="106">
        <f t="shared" si="151"/>
        <v>2.206658351722153E-2</v>
      </c>
      <c r="BC66" s="106">
        <f t="shared" si="151"/>
        <v>3.0035756853396902E-2</v>
      </c>
      <c r="BD66" s="106">
        <f t="shared" si="151"/>
        <v>3.9887376818395118E-2</v>
      </c>
      <c r="BE66" s="106">
        <f t="shared" si="151"/>
        <v>1.7946877243359655E-2</v>
      </c>
      <c r="BF66" s="106">
        <f t="shared" si="151"/>
        <v>2.4683231857824586E-2</v>
      </c>
      <c r="BG66" s="106">
        <f t="shared" si="151"/>
        <v>0</v>
      </c>
      <c r="BH66" s="106">
        <f t="shared" si="151"/>
        <v>0</v>
      </c>
      <c r="BI66" s="106">
        <f t="shared" si="151"/>
        <v>0</v>
      </c>
      <c r="BJ66" s="106">
        <f t="shared" si="151"/>
        <v>0</v>
      </c>
      <c r="BK66" s="106">
        <f t="shared" si="151"/>
        <v>0</v>
      </c>
      <c r="BL66" s="106">
        <f t="shared" ref="BL66" si="152">+BL65/BH52</f>
        <v>0</v>
      </c>
      <c r="BM66" s="106">
        <f t="shared" ref="BM66" si="153">+BM65/BI52</f>
        <v>0</v>
      </c>
      <c r="BN66" s="106">
        <f t="shared" ref="BN66" si="154">+BN65/BJ52</f>
        <v>0</v>
      </c>
      <c r="BO66" s="106">
        <f t="shared" ref="BO66" si="155">+BO65/BK52</f>
        <v>0</v>
      </c>
      <c r="BP66" s="107"/>
      <c r="BQ66" s="107"/>
      <c r="BR66" s="107"/>
      <c r="BS66" s="107"/>
      <c r="BT66" s="107"/>
      <c r="BU66" s="107"/>
      <c r="BV66" s="107"/>
      <c r="BW66" s="107"/>
      <c r="BX66" s="107"/>
      <c r="BY66" s="107"/>
      <c r="BZ66" s="107"/>
      <c r="CA66" s="107"/>
      <c r="CB66" s="107"/>
      <c r="CC66" s="107"/>
      <c r="CD66" s="107"/>
      <c r="CE66" s="107"/>
      <c r="CF66" s="106">
        <f>+CF65/CE52</f>
        <v>1.8394541526746945E-2</v>
      </c>
      <c r="CG66" s="106">
        <f>+CG65/CF52</f>
        <v>1.9072595064966027E-2</v>
      </c>
      <c r="CH66" s="106">
        <f>+CH65/CG52</f>
        <v>0</v>
      </c>
      <c r="CI66" s="106">
        <f>+CI65/CH52</f>
        <v>0</v>
      </c>
    </row>
    <row r="67" spans="2:87" x14ac:dyDescent="0.2">
      <c r="B67" s="101"/>
      <c r="H67" s="49"/>
      <c r="I67" s="49"/>
      <c r="J67" s="49"/>
      <c r="K67" s="49"/>
      <c r="L67" s="49"/>
      <c r="AB67" s="49"/>
      <c r="AC67" s="49"/>
      <c r="AD67" s="49"/>
      <c r="BF67" s="55"/>
      <c r="BG67" s="64"/>
      <c r="BU67" s="49"/>
    </row>
    <row r="68" spans="2:87" x14ac:dyDescent="0.2">
      <c r="B68" s="62" t="s">
        <v>19</v>
      </c>
      <c r="H68" s="49"/>
      <c r="I68" s="49"/>
      <c r="J68" s="49"/>
      <c r="K68" s="49"/>
      <c r="L68" s="49"/>
      <c r="AB68" s="49"/>
      <c r="AC68" s="49"/>
      <c r="AD68" s="49"/>
      <c r="AJ68" s="64"/>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U68" s="49"/>
      <c r="CC68" s="56"/>
      <c r="CD68" s="56"/>
      <c r="CE68" s="56"/>
      <c r="CF68" s="56"/>
      <c r="CG68" s="56"/>
      <c r="CH68" s="56"/>
      <c r="CI68" s="56"/>
    </row>
    <row r="69" spans="2:87" s="76" customFormat="1" ht="13.5" x14ac:dyDescent="0.35">
      <c r="B69" s="60" t="s">
        <v>23</v>
      </c>
      <c r="G69" s="102"/>
      <c r="H69" s="102">
        <f>+H517</f>
        <v>51</v>
      </c>
      <c r="I69" s="102">
        <f t="shared" ref="I69:AT69" si="156">+I517</f>
        <v>72</v>
      </c>
      <c r="J69" s="102">
        <f t="shared" si="156"/>
        <v>97</v>
      </c>
      <c r="K69" s="102">
        <f t="shared" si="156"/>
        <v>103</v>
      </c>
      <c r="L69" s="102">
        <f t="shared" si="156"/>
        <v>110</v>
      </c>
      <c r="M69" s="102">
        <f t="shared" si="156"/>
        <v>139</v>
      </c>
      <c r="N69" s="102">
        <f t="shared" si="156"/>
        <v>176</v>
      </c>
      <c r="O69" s="102">
        <f t="shared" si="156"/>
        <v>224</v>
      </c>
      <c r="P69" s="102">
        <f t="shared" si="156"/>
        <v>233</v>
      </c>
      <c r="Q69" s="102">
        <f t="shared" si="156"/>
        <v>230</v>
      </c>
      <c r="R69" s="102">
        <f t="shared" si="156"/>
        <v>274</v>
      </c>
      <c r="S69" s="102">
        <f t="shared" si="156"/>
        <v>274</v>
      </c>
      <c r="T69" s="102">
        <f t="shared" si="156"/>
        <v>264</v>
      </c>
      <c r="U69" s="102">
        <f t="shared" si="156"/>
        <v>257</v>
      </c>
      <c r="V69" s="102">
        <f t="shared" si="156"/>
        <v>289</v>
      </c>
      <c r="W69" s="102">
        <f t="shared" si="156"/>
        <v>433</v>
      </c>
      <c r="X69" s="102">
        <f t="shared" si="156"/>
        <v>457</v>
      </c>
      <c r="Y69" s="102">
        <f t="shared" si="156"/>
        <v>459</v>
      </c>
      <c r="Z69" s="102">
        <f t="shared" si="156"/>
        <v>486</v>
      </c>
      <c r="AA69" s="102">
        <f t="shared" si="156"/>
        <v>543</v>
      </c>
      <c r="AB69" s="102">
        <f t="shared" si="156"/>
        <v>552</v>
      </c>
      <c r="AC69" s="102">
        <f t="shared" si="156"/>
        <v>585</v>
      </c>
      <c r="AD69" s="102">
        <f t="shared" si="156"/>
        <v>591</v>
      </c>
      <c r="AE69" s="102">
        <f t="shared" si="156"/>
        <v>614</v>
      </c>
      <c r="AF69" s="102">
        <f t="shared" si="156"/>
        <v>671</v>
      </c>
      <c r="AG69" s="102">
        <f t="shared" si="156"/>
        <v>729</v>
      </c>
      <c r="AH69" s="102">
        <f t="shared" si="156"/>
        <v>772</v>
      </c>
      <c r="AI69" s="102">
        <f t="shared" si="156"/>
        <v>853</v>
      </c>
      <c r="AJ69" s="102">
        <f t="shared" si="156"/>
        <v>949</v>
      </c>
      <c r="AK69" s="102">
        <f t="shared" si="156"/>
        <v>1034</v>
      </c>
      <c r="AL69" s="102">
        <f t="shared" si="156"/>
        <v>1107</v>
      </c>
      <c r="AM69" s="102">
        <f t="shared" si="156"/>
        <v>1225</v>
      </c>
      <c r="AN69" s="102">
        <f t="shared" si="156"/>
        <v>1355</v>
      </c>
      <c r="AO69" s="102">
        <f t="shared" si="156"/>
        <v>1502</v>
      </c>
      <c r="AP69" s="102">
        <f t="shared" si="156"/>
        <v>1416</v>
      </c>
      <c r="AQ69" s="102">
        <f t="shared" si="156"/>
        <v>1468</v>
      </c>
      <c r="AR69" s="102">
        <f t="shared" si="156"/>
        <v>1597</v>
      </c>
      <c r="AS69" s="102">
        <f t="shared" si="156"/>
        <v>1704</v>
      </c>
      <c r="AT69" s="102">
        <f t="shared" si="156"/>
        <v>1698</v>
      </c>
      <c r="AU69" s="102">
        <f t="shared" ref="AU69:AZ69" si="157">+AU517</f>
        <v>1863</v>
      </c>
      <c r="AV69" s="102">
        <f t="shared" si="157"/>
        <v>1972</v>
      </c>
      <c r="AW69" s="102">
        <f t="shared" si="157"/>
        <v>1985</v>
      </c>
      <c r="AX69" s="102">
        <f t="shared" si="157"/>
        <v>1995</v>
      </c>
      <c r="AY69" s="102">
        <f t="shared" si="157"/>
        <v>2014</v>
      </c>
      <c r="AZ69" s="102">
        <f t="shared" si="157"/>
        <v>2156</v>
      </c>
      <c r="BA69" s="102">
        <f t="shared" ref="BA69:BI69" si="158">+BA517</f>
        <v>1979</v>
      </c>
      <c r="BB69" s="102">
        <f t="shared" si="158"/>
        <v>2175</v>
      </c>
      <c r="BC69" s="102">
        <f t="shared" si="158"/>
        <v>2376</v>
      </c>
      <c r="BD69" s="102">
        <f t="shared" si="158"/>
        <v>2524</v>
      </c>
      <c r="BE69" s="102">
        <f t="shared" si="158"/>
        <v>2623</v>
      </c>
      <c r="BF69" s="102">
        <f t="shared" si="158"/>
        <v>2858</v>
      </c>
      <c r="BG69" s="102">
        <f t="shared" si="158"/>
        <v>3172</v>
      </c>
      <c r="BH69" s="102">
        <f t="shared" si="158"/>
        <v>3374</v>
      </c>
      <c r="BI69" s="102">
        <f t="shared" si="158"/>
        <v>3637</v>
      </c>
      <c r="BJ69" s="102">
        <f t="shared" ref="BJ69" si="159">+BJ517</f>
        <v>4027</v>
      </c>
      <c r="BK69" s="103">
        <f>('Simple Model - Case 1'!$J$29-SUM(BH69:BJ69))</f>
        <v>4397.7898036904753</v>
      </c>
      <c r="BL69" s="103">
        <f>+BK69+250</f>
        <v>4647.7898036904753</v>
      </c>
      <c r="BM69" s="103">
        <f t="shared" ref="BM69:BN69" si="160">+BL69+250</f>
        <v>4897.7898036904753</v>
      </c>
      <c r="BN69" s="103">
        <f t="shared" si="160"/>
        <v>5147.7898036904753</v>
      </c>
      <c r="BO69" s="103">
        <f>('Simple Model - Case 1'!$K$29-SUM(BL69:BN69))</f>
        <v>4703.2227221950834</v>
      </c>
      <c r="BS69" s="102">
        <f>+BS517</f>
        <v>78</v>
      </c>
      <c r="BT69" s="102">
        <f>+BT517</f>
        <v>139</v>
      </c>
      <c r="BU69" s="77">
        <f>+SUM(H69:K69)</f>
        <v>323</v>
      </c>
      <c r="BV69" s="77">
        <f>+SUM(L69:O69)</f>
        <v>649</v>
      </c>
      <c r="BW69" s="77">
        <f>+SUM(P69:S69)</f>
        <v>1011</v>
      </c>
      <c r="BX69" s="77">
        <f>+SUM(T69:W69)</f>
        <v>1243</v>
      </c>
      <c r="BY69" s="77">
        <f>+SUM(X69:AA69)</f>
        <v>1945</v>
      </c>
      <c r="BZ69" s="77">
        <f>+SUM(AB69:AE69)</f>
        <v>2342</v>
      </c>
      <c r="CA69" s="77">
        <f>+SUM(AF69:AI69)</f>
        <v>3025</v>
      </c>
      <c r="CB69" s="77">
        <f>SUM(AJ69:AM69)</f>
        <v>4315</v>
      </c>
      <c r="CC69" s="77">
        <f>+SUM(AN69:AQ69)</f>
        <v>5741</v>
      </c>
      <c r="CD69" s="77">
        <f>+SUM(AR69:AU69)</f>
        <v>6862</v>
      </c>
      <c r="CE69" s="77">
        <f>+SUM(AV69:AY69)</f>
        <v>7966</v>
      </c>
      <c r="CF69" s="77">
        <f>+SUM(AZ69:BC69)</f>
        <v>8686</v>
      </c>
      <c r="CG69" s="77">
        <f>+SUM(BD69:BG69)</f>
        <v>11177</v>
      </c>
      <c r="CH69" s="77">
        <f>+SUM(BH69:BK69)</f>
        <v>15435.789803690475</v>
      </c>
      <c r="CI69" s="77">
        <f>+SUM(BL69:BO69)</f>
        <v>19396.592133266509</v>
      </c>
    </row>
    <row r="70" spans="2:87" s="50" customFormat="1" ht="10.5" x14ac:dyDescent="0.15">
      <c r="B70" s="141" t="s">
        <v>291</v>
      </c>
      <c r="H70" s="142">
        <f>+H52+H69</f>
        <v>439</v>
      </c>
      <c r="I70" s="142">
        <f t="shared" ref="I70:AT70" si="161">+I52+I69</f>
        <v>479</v>
      </c>
      <c r="J70" s="142">
        <f t="shared" si="161"/>
        <v>511</v>
      </c>
      <c r="K70" s="142">
        <f t="shared" si="161"/>
        <v>651</v>
      </c>
      <c r="L70" s="142">
        <f t="shared" si="161"/>
        <v>491</v>
      </c>
      <c r="M70" s="142">
        <f t="shared" si="161"/>
        <v>-604</v>
      </c>
      <c r="N70" s="142">
        <f t="shared" si="161"/>
        <v>553</v>
      </c>
      <c r="O70" s="142">
        <f t="shared" si="161"/>
        <v>747</v>
      </c>
      <c r="P70" s="142">
        <f t="shared" si="161"/>
        <v>606</v>
      </c>
      <c r="Q70" s="142">
        <f t="shared" si="161"/>
        <v>792</v>
      </c>
      <c r="R70" s="142">
        <f t="shared" si="161"/>
        <v>1010</v>
      </c>
      <c r="S70" s="142">
        <f t="shared" si="161"/>
        <v>1407</v>
      </c>
      <c r="T70" s="142">
        <f t="shared" si="161"/>
        <v>1339</v>
      </c>
      <c r="U70" s="142">
        <f t="shared" si="161"/>
        <v>1647</v>
      </c>
      <c r="V70" s="142">
        <f t="shared" si="161"/>
        <v>1686</v>
      </c>
      <c r="W70" s="142">
        <f t="shared" si="161"/>
        <v>1566</v>
      </c>
      <c r="X70" s="142">
        <f t="shared" si="161"/>
        <v>1390</v>
      </c>
      <c r="Y70" s="142">
        <f t="shared" si="161"/>
        <v>1732</v>
      </c>
      <c r="Z70" s="142">
        <f t="shared" si="161"/>
        <v>1945</v>
      </c>
      <c r="AA70" s="142">
        <f t="shared" si="161"/>
        <v>3103</v>
      </c>
      <c r="AB70" s="142">
        <f t="shared" si="161"/>
        <v>2562</v>
      </c>
      <c r="AC70" s="142">
        <f t="shared" si="161"/>
        <v>3319</v>
      </c>
      <c r="AD70" s="142">
        <f t="shared" si="161"/>
        <v>3708</v>
      </c>
      <c r="AE70" s="142">
        <f t="shared" si="161"/>
        <v>5180</v>
      </c>
      <c r="AF70" s="142">
        <f t="shared" si="161"/>
        <v>3998</v>
      </c>
      <c r="AG70" s="142">
        <f t="shared" si="161"/>
        <v>5130</v>
      </c>
      <c r="AH70" s="142">
        <f t="shared" si="161"/>
        <v>5894</v>
      </c>
      <c r="AI70" s="142">
        <f t="shared" si="161"/>
        <v>8205</v>
      </c>
      <c r="AJ70" s="142">
        <f t="shared" si="161"/>
        <v>6398</v>
      </c>
      <c r="AK70" s="142">
        <f t="shared" si="161"/>
        <v>6897</v>
      </c>
      <c r="AL70" s="142">
        <f t="shared" si="161"/>
        <v>6888</v>
      </c>
      <c r="AM70" s="142">
        <f t="shared" si="161"/>
        <v>9045</v>
      </c>
      <c r="AN70" s="142">
        <f t="shared" si="161"/>
        <v>7672</v>
      </c>
      <c r="AO70" s="142">
        <f t="shared" si="161"/>
        <v>8128</v>
      </c>
      <c r="AP70" s="142">
        <f t="shared" si="161"/>
        <v>8601</v>
      </c>
      <c r="AQ70" s="142">
        <f t="shared" si="161"/>
        <v>10876</v>
      </c>
      <c r="AR70" s="142">
        <f t="shared" si="161"/>
        <v>7490</v>
      </c>
      <c r="AS70" s="142">
        <f t="shared" si="161"/>
        <v>7667</v>
      </c>
      <c r="AT70" s="142">
        <f t="shared" si="161"/>
        <v>9738</v>
      </c>
      <c r="AU70" s="142">
        <f t="shared" ref="AU70:BK70" si="162">+AU52+AU69</f>
        <v>14638</v>
      </c>
      <c r="AV70" s="142">
        <f t="shared" si="162"/>
        <v>13350</v>
      </c>
      <c r="AW70" s="142">
        <f t="shared" si="162"/>
        <v>14352</v>
      </c>
      <c r="AX70" s="142">
        <f t="shared" si="162"/>
        <v>12418</v>
      </c>
      <c r="AY70" s="142">
        <f t="shared" si="162"/>
        <v>14599</v>
      </c>
      <c r="AZ70" s="142">
        <f t="shared" si="162"/>
        <v>10680</v>
      </c>
      <c r="BA70" s="142">
        <f t="shared" si="162"/>
        <v>10337</v>
      </c>
      <c r="BB70" s="142">
        <f t="shared" si="162"/>
        <v>8252</v>
      </c>
      <c r="BC70" s="142">
        <f t="shared" si="162"/>
        <v>12973</v>
      </c>
      <c r="BD70" s="142">
        <f t="shared" si="162"/>
        <v>10895</v>
      </c>
      <c r="BE70" s="142">
        <f t="shared" si="162"/>
        <v>14665</v>
      </c>
      <c r="BF70" s="142">
        <f t="shared" si="162"/>
        <v>16986</v>
      </c>
      <c r="BG70" s="142">
        <f t="shared" si="162"/>
        <v>20704</v>
      </c>
      <c r="BH70" s="142">
        <f t="shared" si="162"/>
        <v>17438</v>
      </c>
      <c r="BI70" s="142">
        <f t="shared" si="162"/>
        <v>19884</v>
      </c>
      <c r="BJ70" s="142">
        <f t="shared" ref="BJ70" si="163">+BJ52+BJ69</f>
        <v>21377</v>
      </c>
      <c r="BK70" s="142">
        <f t="shared" si="162"/>
        <v>24696.26889231988</v>
      </c>
      <c r="BL70" s="142">
        <f t="shared" ref="BL70:BO70" si="164">+BL52+BL69</f>
        <v>20471.796651310979</v>
      </c>
      <c r="BM70" s="142">
        <f t="shared" si="164"/>
        <v>23132.00485815703</v>
      </c>
      <c r="BN70" s="142">
        <f t="shared" si="164"/>
        <v>23975.078707654742</v>
      </c>
      <c r="BO70" s="142">
        <f t="shared" si="164"/>
        <v>27365.629397512326</v>
      </c>
      <c r="BS70" s="142">
        <f t="shared" ref="BS70:BZ70" si="165">+BS52+BS69</f>
        <v>340</v>
      </c>
      <c r="BT70" s="142">
        <f t="shared" si="165"/>
        <v>1171</v>
      </c>
      <c r="BU70" s="142">
        <f t="shared" si="165"/>
        <v>2080</v>
      </c>
      <c r="BV70" s="142">
        <f t="shared" si="165"/>
        <v>1187</v>
      </c>
      <c r="BW70" s="142">
        <f t="shared" si="165"/>
        <v>3815</v>
      </c>
      <c r="BX70" s="142">
        <f t="shared" si="165"/>
        <v>6238</v>
      </c>
      <c r="BY70" s="142">
        <f t="shared" si="165"/>
        <v>8170</v>
      </c>
      <c r="BZ70" s="142">
        <f t="shared" si="165"/>
        <v>14769</v>
      </c>
      <c r="CA70" s="142">
        <f>+SUM(AF70:AI70)</f>
        <v>23227</v>
      </c>
      <c r="CB70" s="132">
        <f>SUM(AJ70:AM70)</f>
        <v>29228</v>
      </c>
      <c r="CC70" s="132">
        <f>+SUM(AN70:AQ70)</f>
        <v>35277</v>
      </c>
      <c r="CD70" s="132">
        <f>+SUM(AR70:AU70)</f>
        <v>39533</v>
      </c>
      <c r="CE70" s="132">
        <f>+SUM(AV70:AY70)</f>
        <v>54719</v>
      </c>
      <c r="CF70" s="132">
        <f>+SUM(AZ70:BC70)</f>
        <v>42242</v>
      </c>
      <c r="CG70" s="132">
        <f>+SUM(BD70:BG70)</f>
        <v>63250</v>
      </c>
      <c r="CH70" s="132">
        <f>+SUM(BH70:BK70)</f>
        <v>83395.268892319873</v>
      </c>
      <c r="CI70" s="132">
        <f>+SUM(BL70:BO70)</f>
        <v>94944.509614635084</v>
      </c>
    </row>
    <row r="71" spans="2:87" x14ac:dyDescent="0.2">
      <c r="B71" s="67" t="s">
        <v>17</v>
      </c>
      <c r="H71" s="106"/>
      <c r="I71" s="106"/>
      <c r="J71" s="106"/>
      <c r="K71" s="106"/>
      <c r="L71" s="106">
        <f t="shared" ref="L71:BJ71" si="166">+L70/H70-1</f>
        <v>0.11845102505694771</v>
      </c>
      <c r="M71" s="106">
        <f t="shared" si="166"/>
        <v>-2.2609603340292272</v>
      </c>
      <c r="N71" s="106">
        <f t="shared" si="166"/>
        <v>8.2191780821917915E-2</v>
      </c>
      <c r="O71" s="106">
        <f t="shared" si="166"/>
        <v>0.14746543778801846</v>
      </c>
      <c r="P71" s="106">
        <f t="shared" si="166"/>
        <v>0.2342158859470469</v>
      </c>
      <c r="Q71" s="106">
        <f t="shared" si="166"/>
        <v>-2.3112582781456954</v>
      </c>
      <c r="R71" s="106">
        <f t="shared" si="166"/>
        <v>0.82640144665461124</v>
      </c>
      <c r="S71" s="106">
        <f t="shared" si="166"/>
        <v>0.88353413654618485</v>
      </c>
      <c r="T71" s="106">
        <f t="shared" si="166"/>
        <v>1.2095709570957096</v>
      </c>
      <c r="U71" s="106">
        <f t="shared" si="166"/>
        <v>1.0795454545454546</v>
      </c>
      <c r="V71" s="106">
        <f t="shared" si="166"/>
        <v>0.66930693069306924</v>
      </c>
      <c r="W71" s="106">
        <f t="shared" si="166"/>
        <v>0.11300639658848621</v>
      </c>
      <c r="X71" s="106">
        <f t="shared" si="166"/>
        <v>3.8088125466766209E-2</v>
      </c>
      <c r="Y71" s="106">
        <f t="shared" si="166"/>
        <v>5.1608986035215576E-2</v>
      </c>
      <c r="Z71" s="106">
        <f t="shared" si="166"/>
        <v>0.15361803084223014</v>
      </c>
      <c r="AA71" s="106">
        <f t="shared" si="166"/>
        <v>0.9814814814814814</v>
      </c>
      <c r="AB71" s="106">
        <f t="shared" si="166"/>
        <v>0.84316546762589928</v>
      </c>
      <c r="AC71" s="106">
        <f t="shared" si="166"/>
        <v>0.91628175519630495</v>
      </c>
      <c r="AD71" s="106">
        <f t="shared" si="166"/>
        <v>0.90642673521850892</v>
      </c>
      <c r="AE71" s="106">
        <f t="shared" si="166"/>
        <v>0.66935223976796654</v>
      </c>
      <c r="AF71" s="106">
        <f t="shared" si="166"/>
        <v>0.5604996096799375</v>
      </c>
      <c r="AG71" s="106">
        <f t="shared" si="166"/>
        <v>0.54564627899969875</v>
      </c>
      <c r="AH71" s="106">
        <f t="shared" si="166"/>
        <v>0.58953613807982741</v>
      </c>
      <c r="AI71" s="106">
        <f t="shared" si="166"/>
        <v>0.58397683397683409</v>
      </c>
      <c r="AJ71" s="106">
        <f t="shared" si="166"/>
        <v>0.60030015007503756</v>
      </c>
      <c r="AK71" s="106">
        <f t="shared" si="166"/>
        <v>0.34444444444444455</v>
      </c>
      <c r="AL71" s="106">
        <f t="shared" si="166"/>
        <v>0.16864608076009491</v>
      </c>
      <c r="AM71" s="106">
        <f t="shared" si="166"/>
        <v>0.10237659963436929</v>
      </c>
      <c r="AN71" s="106">
        <f t="shared" si="166"/>
        <v>0.19912472647702417</v>
      </c>
      <c r="AO71" s="106">
        <f t="shared" si="166"/>
        <v>0.17848339857909234</v>
      </c>
      <c r="AP71" s="106">
        <f t="shared" si="166"/>
        <v>0.24869337979094075</v>
      </c>
      <c r="AQ71" s="106">
        <f t="shared" si="166"/>
        <v>0.20243228302929794</v>
      </c>
      <c r="AR71" s="106">
        <f t="shared" si="166"/>
        <v>-2.3722627737226332E-2</v>
      </c>
      <c r="AS71" s="106">
        <f t="shared" si="166"/>
        <v>-5.6717519685039353E-2</v>
      </c>
      <c r="AT71" s="106">
        <f t="shared" si="166"/>
        <v>0.13219393093826293</v>
      </c>
      <c r="AU71" s="106">
        <f t="shared" si="166"/>
        <v>0.34589922765722703</v>
      </c>
      <c r="AV71" s="106">
        <f t="shared" si="166"/>
        <v>0.78237650200267028</v>
      </c>
      <c r="AW71" s="106">
        <f t="shared" si="166"/>
        <v>0.8719186122342506</v>
      </c>
      <c r="AX71" s="106">
        <f t="shared" si="166"/>
        <v>0.27521051550626408</v>
      </c>
      <c r="AY71" s="106">
        <f t="shared" si="166"/>
        <v>-2.6642984014209059E-3</v>
      </c>
      <c r="AZ71" s="106">
        <f t="shared" si="166"/>
        <v>-0.19999999999999996</v>
      </c>
      <c r="BA71" s="106">
        <f t="shared" si="166"/>
        <v>-0.27975195094760308</v>
      </c>
      <c r="BB71" s="106">
        <f t="shared" si="166"/>
        <v>-0.33548075374456432</v>
      </c>
      <c r="BC71" s="106">
        <f t="shared" si="166"/>
        <v>-0.11137749160901433</v>
      </c>
      <c r="BD71" s="106">
        <f t="shared" si="166"/>
        <v>2.0131086142322063E-2</v>
      </c>
      <c r="BE71" s="106">
        <f t="shared" si="166"/>
        <v>0.4186901422076037</v>
      </c>
      <c r="BF71" s="106">
        <f t="shared" si="166"/>
        <v>1.0584100824042655</v>
      </c>
      <c r="BG71" s="106">
        <f t="shared" si="166"/>
        <v>0.59593000847914901</v>
      </c>
      <c r="BH71" s="106">
        <f t="shared" si="166"/>
        <v>0.60055071133547488</v>
      </c>
      <c r="BI71" s="106">
        <f t="shared" si="166"/>
        <v>0.35588135015342659</v>
      </c>
      <c r="BJ71" s="106">
        <f t="shared" si="166"/>
        <v>0.25850700576945718</v>
      </c>
      <c r="BK71" s="106">
        <f>+BK70/BG70-1</f>
        <v>0.19282597045594474</v>
      </c>
      <c r="BL71" s="106">
        <f t="shared" ref="BL71:BO71" si="167">+BL70/BH70-1</f>
        <v>0.17397618140331339</v>
      </c>
      <c r="BM71" s="106">
        <f t="shared" si="167"/>
        <v>0.16334765933197692</v>
      </c>
      <c r="BN71" s="106">
        <f t="shared" si="167"/>
        <v>0.12153617007319739</v>
      </c>
      <c r="BO71" s="106">
        <f t="shared" si="167"/>
        <v>0.10808760290193353</v>
      </c>
      <c r="BP71" s="106"/>
      <c r="BQ71" s="106"/>
      <c r="BR71" s="106"/>
      <c r="BS71" s="106"/>
      <c r="BT71" s="106">
        <f t="shared" ref="BT71:CI71" si="168">+BT70/BS70-1</f>
        <v>2.4441176470588237</v>
      </c>
      <c r="BU71" s="106">
        <f t="shared" si="168"/>
        <v>0.77625960717335607</v>
      </c>
      <c r="BV71" s="106">
        <f t="shared" si="168"/>
        <v>-0.42932692307692311</v>
      </c>
      <c r="BW71" s="106">
        <f t="shared" si="168"/>
        <v>2.2139848357203031</v>
      </c>
      <c r="BX71" s="106">
        <f t="shared" si="168"/>
        <v>0.63512450851900404</v>
      </c>
      <c r="BY71" s="106">
        <f t="shared" si="168"/>
        <v>0.3097146521320937</v>
      </c>
      <c r="BZ71" s="106">
        <f t="shared" si="168"/>
        <v>0.80771113831089347</v>
      </c>
      <c r="CA71" s="106">
        <f t="shared" si="168"/>
        <v>0.57268603155257636</v>
      </c>
      <c r="CB71" s="106">
        <f t="shared" si="168"/>
        <v>0.25836311189563865</v>
      </c>
      <c r="CC71" s="106">
        <f t="shared" si="168"/>
        <v>0.20695908033392629</v>
      </c>
      <c r="CD71" s="106">
        <f t="shared" si="168"/>
        <v>0.12064517957876242</v>
      </c>
      <c r="CE71" s="106">
        <f t="shared" si="168"/>
        <v>0.3841347734803835</v>
      </c>
      <c r="CF71" s="106">
        <f t="shared" si="168"/>
        <v>-0.22801951790054642</v>
      </c>
      <c r="CG71" s="106">
        <f t="shared" si="168"/>
        <v>0.49732493726622784</v>
      </c>
      <c r="CH71" s="106">
        <f t="shared" si="168"/>
        <v>0.31850227497738937</v>
      </c>
      <c r="CI71" s="106">
        <f t="shared" si="168"/>
        <v>0.1384879607166638</v>
      </c>
    </row>
    <row r="72" spans="2:87" x14ac:dyDescent="0.2">
      <c r="B72" s="67" t="s">
        <v>21</v>
      </c>
      <c r="D72" s="107"/>
      <c r="E72" s="107"/>
      <c r="F72" s="107"/>
      <c r="G72" s="107"/>
      <c r="H72" s="107">
        <f t="shared" ref="H72:AM72" si="169">+H70/H9</f>
        <v>0.60054719562243497</v>
      </c>
      <c r="I72" s="107">
        <f t="shared" si="169"/>
        <v>0.53519553072625703</v>
      </c>
      <c r="J72" s="107">
        <f t="shared" si="169"/>
        <v>0.53563941299790352</v>
      </c>
      <c r="K72" s="107">
        <f t="shared" si="169"/>
        <v>0.5755968169761273</v>
      </c>
      <c r="L72" s="107">
        <f t="shared" si="169"/>
        <v>0.46408317580340264</v>
      </c>
      <c r="M72" s="107">
        <f t="shared" si="169"/>
        <v>-0.51013513513513509</v>
      </c>
      <c r="N72" s="107">
        <f t="shared" si="169"/>
        <v>0.43819334389857367</v>
      </c>
      <c r="O72" s="107">
        <f t="shared" si="169"/>
        <v>0.47129337539432176</v>
      </c>
      <c r="P72" s="107">
        <f t="shared" si="169"/>
        <v>0.41563786008230452</v>
      </c>
      <c r="Q72" s="107">
        <f t="shared" si="169"/>
        <v>0.43684500827357969</v>
      </c>
      <c r="R72" s="107">
        <f t="shared" si="169"/>
        <v>0.50099206349206349</v>
      </c>
      <c r="S72" s="107">
        <f t="shared" si="169"/>
        <v>0.54429400386847193</v>
      </c>
      <c r="T72" s="107">
        <f t="shared" si="169"/>
        <v>0.53517186250999205</v>
      </c>
      <c r="U72" s="107">
        <f t="shared" si="169"/>
        <v>0.56597938144329896</v>
      </c>
      <c r="V72" s="107">
        <f t="shared" si="169"/>
        <v>0.52638151732750549</v>
      </c>
      <c r="W72" s="107">
        <f t="shared" si="169"/>
        <v>0.40664762399376786</v>
      </c>
      <c r="X72" s="107">
        <f t="shared" si="169"/>
        <v>0.39232289020604005</v>
      </c>
      <c r="Y72" s="107">
        <f t="shared" si="169"/>
        <v>0.42850074220682832</v>
      </c>
      <c r="Z72" s="107">
        <f t="shared" si="169"/>
        <v>0.43212619417907133</v>
      </c>
      <c r="AA72" s="107">
        <f t="shared" si="169"/>
        <v>0.53124464988871767</v>
      </c>
      <c r="AB72" s="107">
        <f t="shared" si="169"/>
        <v>0.47603121516164992</v>
      </c>
      <c r="AC72" s="107">
        <f t="shared" si="169"/>
        <v>0.51569297700435057</v>
      </c>
      <c r="AD72" s="107">
        <f t="shared" si="169"/>
        <v>0.52888318356867781</v>
      </c>
      <c r="AE72" s="107">
        <f t="shared" si="169"/>
        <v>0.58803496424111701</v>
      </c>
      <c r="AF72" s="107">
        <f t="shared" si="169"/>
        <v>0.4977589641434263</v>
      </c>
      <c r="AG72" s="107">
        <f t="shared" si="169"/>
        <v>0.5503701319600901</v>
      </c>
      <c r="AH72" s="107">
        <f t="shared" si="169"/>
        <v>0.57068164213787764</v>
      </c>
      <c r="AI72" s="107">
        <f t="shared" si="169"/>
        <v>0.6325161887141536</v>
      </c>
      <c r="AJ72" s="107">
        <f t="shared" si="169"/>
        <v>0.5346815978606051</v>
      </c>
      <c r="AK72" s="107">
        <f t="shared" si="169"/>
        <v>0.52127579170130756</v>
      </c>
      <c r="AL72" s="107">
        <f t="shared" si="169"/>
        <v>0.50178480367159617</v>
      </c>
      <c r="AM72" s="107">
        <f t="shared" si="169"/>
        <v>0.53476410074494507</v>
      </c>
      <c r="AN72" s="107">
        <f t="shared" ref="AN72:BK72" si="170">+AN70/AN9</f>
        <v>0.50885454666047625</v>
      </c>
      <c r="AO72" s="107">
        <f t="shared" si="170"/>
        <v>0.48134549330806586</v>
      </c>
      <c r="AP72" s="107">
        <f t="shared" si="170"/>
        <v>0.48725356900067979</v>
      </c>
      <c r="AQ72" s="107">
        <f t="shared" si="170"/>
        <v>0.51589033298548526</v>
      </c>
      <c r="AR72" s="107">
        <f t="shared" si="170"/>
        <v>0.42228110728984608</v>
      </c>
      <c r="AS72" s="107">
        <f t="shared" si="170"/>
        <v>0.41028522502274306</v>
      </c>
      <c r="AT72" s="107">
        <f t="shared" si="170"/>
        <v>0.45356311131811833</v>
      </c>
      <c r="AU72" s="107">
        <f t="shared" si="170"/>
        <v>0.52144485608435454</v>
      </c>
      <c r="AV72" s="107">
        <f t="shared" si="170"/>
        <v>0.5101066065492339</v>
      </c>
      <c r="AW72" s="107">
        <f t="shared" si="170"/>
        <v>0.49358599580424389</v>
      </c>
      <c r="AX72" s="107">
        <f t="shared" si="170"/>
        <v>0.42805928990003445</v>
      </c>
      <c r="AY72" s="107">
        <f t="shared" si="170"/>
        <v>0.43357785631552376</v>
      </c>
      <c r="AZ72" s="107">
        <f t="shared" si="170"/>
        <v>0.38268596818116668</v>
      </c>
      <c r="BA72" s="107">
        <f t="shared" si="170"/>
        <v>0.35864964263409893</v>
      </c>
      <c r="BB72" s="107">
        <f t="shared" si="170"/>
        <v>0.29775564696543261</v>
      </c>
      <c r="BC72" s="107">
        <f t="shared" si="170"/>
        <v>0.40332659723301728</v>
      </c>
      <c r="BD72" s="107">
        <f t="shared" si="170"/>
        <v>0.38034561005411066</v>
      </c>
      <c r="BE72" s="107">
        <f t="shared" si="170"/>
        <v>0.45829557173661678</v>
      </c>
      <c r="BF72" s="107">
        <f>+BF70/BF9</f>
        <v>0.49745211737831663</v>
      </c>
      <c r="BG72" s="107">
        <f>+BG70/BG9</f>
        <v>0.51616763481339278</v>
      </c>
      <c r="BH72" s="107">
        <f>+BH70/BH9</f>
        <v>0.47834316280345629</v>
      </c>
      <c r="BI72" s="107">
        <f>+BI70/BI9</f>
        <v>0.50891965908218373</v>
      </c>
      <c r="BJ72" s="107">
        <f>+BJ70/BJ9</f>
        <v>0.52666978738081749</v>
      </c>
      <c r="BK72" s="107">
        <f t="shared" si="170"/>
        <v>0.52717442150167027</v>
      </c>
      <c r="BL72" s="107">
        <f t="shared" ref="BL72:BO72" si="171">+BL70/BL9</f>
        <v>0.49579087227474034</v>
      </c>
      <c r="BM72" s="107">
        <f t="shared" si="171"/>
        <v>0.523326859687965</v>
      </c>
      <c r="BN72" s="107">
        <f t="shared" si="171"/>
        <v>0.52533596808020078</v>
      </c>
      <c r="BO72" s="107">
        <f t="shared" si="171"/>
        <v>0.51702377551697165</v>
      </c>
      <c r="BP72" s="107"/>
      <c r="BQ72" s="107"/>
      <c r="BR72" s="107"/>
      <c r="BS72" s="107">
        <f t="shared" ref="BS72:CH72" si="172">+BS70/BS9</f>
        <v>0.43758043758043758</v>
      </c>
      <c r="BT72" s="107">
        <f t="shared" si="172"/>
        <v>0.59321175278622085</v>
      </c>
      <c r="BU72" s="107">
        <f t="shared" si="172"/>
        <v>0.56049582322824032</v>
      </c>
      <c r="BV72" s="107">
        <f t="shared" si="172"/>
        <v>0.23324818235409708</v>
      </c>
      <c r="BW72" s="107">
        <f t="shared" si="172"/>
        <v>0.4846290650406504</v>
      </c>
      <c r="BX72" s="107">
        <f t="shared" si="172"/>
        <v>0.50040109096743146</v>
      </c>
      <c r="BY72" s="107">
        <f t="shared" si="172"/>
        <v>0.45573715624477046</v>
      </c>
      <c r="BZ72" s="107">
        <f t="shared" si="172"/>
        <v>0.53437296475866558</v>
      </c>
      <c r="CA72" s="107">
        <f t="shared" si="172"/>
        <v>0.57134774801367672</v>
      </c>
      <c r="CB72" s="107">
        <f t="shared" si="172"/>
        <v>0.52344281671979653</v>
      </c>
      <c r="CC72" s="107">
        <f t="shared" si="172"/>
        <v>0.49898864166796331</v>
      </c>
      <c r="CD72" s="107">
        <f t="shared" si="172"/>
        <v>0.45986785473326663</v>
      </c>
      <c r="CE72" s="107">
        <f t="shared" si="172"/>
        <v>0.46399952513800674</v>
      </c>
      <c r="CF72" s="107">
        <f t="shared" si="172"/>
        <v>0.36225334236636964</v>
      </c>
      <c r="CG72" s="107">
        <f t="shared" si="172"/>
        <v>0.46886235090918527</v>
      </c>
      <c r="CH72" s="107">
        <f t="shared" si="172"/>
        <v>0.51174833511709361</v>
      </c>
      <c r="CI72" s="107">
        <f t="shared" ref="CI72" si="173">+CI70/CI9</f>
        <v>0.51583516476146707</v>
      </c>
    </row>
    <row r="73" spans="2:87" x14ac:dyDescent="0.2">
      <c r="B73" s="67" t="s">
        <v>22</v>
      </c>
      <c r="D73" s="107"/>
      <c r="E73" s="107"/>
      <c r="F73" s="107"/>
      <c r="G73" s="107"/>
      <c r="H73" s="107"/>
      <c r="I73" s="107"/>
      <c r="J73" s="107"/>
      <c r="K73" s="107"/>
      <c r="L73" s="107">
        <f t="shared" ref="L73:AQ73" si="174">+(L70-H70)/(L9-H9)</f>
        <v>0.15902140672782875</v>
      </c>
      <c r="M73" s="107">
        <f t="shared" si="174"/>
        <v>-3.7474048442906573</v>
      </c>
      <c r="N73" s="107">
        <f t="shared" si="174"/>
        <v>0.13636363636363635</v>
      </c>
      <c r="O73" s="107">
        <f t="shared" si="174"/>
        <v>0.21145374449339208</v>
      </c>
      <c r="P73" s="107">
        <f t="shared" si="174"/>
        <v>0.28749999999999998</v>
      </c>
      <c r="Q73" s="107">
        <f t="shared" si="174"/>
        <v>2.2193958664546898</v>
      </c>
      <c r="R73" s="107">
        <f t="shared" si="174"/>
        <v>0.6061007957559682</v>
      </c>
      <c r="S73" s="107">
        <f t="shared" si="174"/>
        <v>0.66</v>
      </c>
      <c r="T73" s="107">
        <f t="shared" si="174"/>
        <v>0.70210727969348663</v>
      </c>
      <c r="U73" s="107">
        <f t="shared" si="174"/>
        <v>0.77939835916134914</v>
      </c>
      <c r="V73" s="107">
        <f t="shared" si="174"/>
        <v>0.569502948609941</v>
      </c>
      <c r="W73" s="107">
        <f t="shared" si="174"/>
        <v>0.12559241706161137</v>
      </c>
      <c r="X73" s="107">
        <f t="shared" si="174"/>
        <v>4.8991354466858789E-2</v>
      </c>
      <c r="Y73" s="107">
        <f t="shared" si="174"/>
        <v>7.5088339222614847E-2</v>
      </c>
      <c r="Z73" s="107">
        <f t="shared" si="174"/>
        <v>0.19953775038520802</v>
      </c>
      <c r="AA73" s="107">
        <f t="shared" si="174"/>
        <v>0.77236180904522611</v>
      </c>
      <c r="AB73" s="107">
        <f t="shared" si="174"/>
        <v>0.63730288200108753</v>
      </c>
      <c r="AC73" s="107">
        <f t="shared" si="174"/>
        <v>0.66290726817042611</v>
      </c>
      <c r="AD73" s="107">
        <f t="shared" si="174"/>
        <v>0.70239043824701197</v>
      </c>
      <c r="AE73" s="107">
        <f t="shared" si="174"/>
        <v>0.69979784366576825</v>
      </c>
      <c r="AF73" s="107">
        <f t="shared" si="174"/>
        <v>0.54188679245283022</v>
      </c>
      <c r="AG73" s="107">
        <f t="shared" si="174"/>
        <v>0.62772963604852683</v>
      </c>
      <c r="AH73" s="107">
        <f t="shared" si="174"/>
        <v>0.65902924329213142</v>
      </c>
      <c r="AI73" s="107">
        <f t="shared" si="174"/>
        <v>0.72663944270958447</v>
      </c>
      <c r="AJ73" s="107">
        <f t="shared" si="174"/>
        <v>0.61006609049313676</v>
      </c>
      <c r="AK73" s="107">
        <f t="shared" si="174"/>
        <v>0.45191815856777495</v>
      </c>
      <c r="AL73" s="107">
        <f t="shared" si="174"/>
        <v>0.29243895263312741</v>
      </c>
      <c r="AM73" s="107">
        <f t="shared" si="174"/>
        <v>0.21308980213089801</v>
      </c>
      <c r="AN73" s="107">
        <f t="shared" si="174"/>
        <v>0.40951462552234008</v>
      </c>
      <c r="AO73" s="107">
        <f t="shared" si="174"/>
        <v>0.33679890560875514</v>
      </c>
      <c r="AP73" s="107">
        <f t="shared" si="174"/>
        <v>0.43643312101910831</v>
      </c>
      <c r="AQ73" s="107">
        <f t="shared" si="174"/>
        <v>0.43929942418426104</v>
      </c>
      <c r="AR73" s="107">
        <f t="shared" ref="AR73:BK73" si="175">+(AR70-AN70)/(AR9-AN9)</f>
        <v>-6.8421052631578952E-2</v>
      </c>
      <c r="AS73" s="107">
        <f t="shared" si="175"/>
        <v>-0.25596890616324264</v>
      </c>
      <c r="AT73" s="107">
        <f t="shared" si="175"/>
        <v>0.29779989523310635</v>
      </c>
      <c r="AU73" s="107">
        <f t="shared" si="175"/>
        <v>0.53819742489270384</v>
      </c>
      <c r="AV73" s="107">
        <f t="shared" si="175"/>
        <v>0.69480673464548259</v>
      </c>
      <c r="AW73" s="107">
        <f t="shared" si="175"/>
        <v>0.6434071222329163</v>
      </c>
      <c r="AX73" s="107">
        <f t="shared" si="175"/>
        <v>0.35543766578249336</v>
      </c>
      <c r="AY73" s="107">
        <f t="shared" si="175"/>
        <v>-6.9655295588497944E-3</v>
      </c>
      <c r="AZ73" s="107">
        <f t="shared" si="175"/>
        <v>-1.53713298791019</v>
      </c>
      <c r="BA73" s="107">
        <f t="shared" si="175"/>
        <v>15.745098039215685</v>
      </c>
      <c r="BB73" s="107">
        <f t="shared" si="175"/>
        <v>3.2145061728395063</v>
      </c>
      <c r="BC73" s="107">
        <f t="shared" si="175"/>
        <v>1.0796812749003983</v>
      </c>
      <c r="BD73" s="107">
        <f t="shared" si="175"/>
        <v>0.29172320217096337</v>
      </c>
      <c r="BE73" s="107">
        <f t="shared" si="175"/>
        <v>1.3622914699401951</v>
      </c>
      <c r="BF73" s="107">
        <f t="shared" si="175"/>
        <v>1.3578980099502487</v>
      </c>
      <c r="BG73" s="107">
        <f t="shared" si="175"/>
        <v>0.97294236093632014</v>
      </c>
      <c r="BH73" s="107">
        <f t="shared" si="175"/>
        <v>0.83777208706786177</v>
      </c>
      <c r="BI73" s="107">
        <f t="shared" si="175"/>
        <v>0.73798076923076927</v>
      </c>
      <c r="BJ73" s="107">
        <f t="shared" si="175"/>
        <v>0.68151482228775417</v>
      </c>
      <c r="BK73" s="107">
        <f t="shared" si="175"/>
        <v>0.59272177082329969</v>
      </c>
      <c r="BL73" s="107">
        <f t="shared" ref="BL73" si="176">+(BL70-BH70)/(BL9-BH9)</f>
        <v>0.62731089923964345</v>
      </c>
      <c r="BM73" s="107">
        <f t="shared" ref="BM73" si="177">+(BM70-BI70)/(BM9-BI9)</f>
        <v>0.63303693403874495</v>
      </c>
      <c r="BN73" s="107">
        <f t="shared" ref="BN73" si="178">+(BN70-BJ70)/(BN9-BJ9)</f>
        <v>0.51461254564025738</v>
      </c>
      <c r="BO73" s="107">
        <f t="shared" ref="BO73" si="179">+(BO70-BK70)/(BO9-BK9)</f>
        <v>0.43884717628315617</v>
      </c>
      <c r="BP73" s="107"/>
      <c r="BQ73" s="107"/>
      <c r="BR73" s="107"/>
      <c r="BS73" s="107"/>
      <c r="BT73" s="107">
        <f t="shared" ref="BT73:CI73" si="180">+(BT70-BS70)/(BT9-BS9)</f>
        <v>0.69423558897243109</v>
      </c>
      <c r="BU73" s="107">
        <f t="shared" si="180"/>
        <v>0.52331606217616577</v>
      </c>
      <c r="BV73" s="107">
        <f t="shared" si="180"/>
        <v>-0.64804063860667638</v>
      </c>
      <c r="BW73" s="107">
        <f t="shared" si="180"/>
        <v>0.94430470715055692</v>
      </c>
      <c r="BX73" s="107">
        <f t="shared" si="180"/>
        <v>0.52742707879843276</v>
      </c>
      <c r="BY73" s="107">
        <f t="shared" si="180"/>
        <v>0.35378135872550814</v>
      </c>
      <c r="BZ73" s="107">
        <f t="shared" si="180"/>
        <v>0.67953866749047476</v>
      </c>
      <c r="CA73" s="107">
        <f t="shared" si="180"/>
        <v>0.64986553976181327</v>
      </c>
      <c r="CB73" s="107">
        <f t="shared" si="180"/>
        <v>0.39519262430029634</v>
      </c>
      <c r="CC73" s="107">
        <f t="shared" si="180"/>
        <v>0.40709334410121811</v>
      </c>
      <c r="CD73" s="107">
        <f t="shared" si="180"/>
        <v>0.27873469120440109</v>
      </c>
      <c r="CE73" s="107">
        <f t="shared" si="180"/>
        <v>0.47511184807433593</v>
      </c>
      <c r="CF73" s="107">
        <f t="shared" si="180"/>
        <v>9.452272727272728</v>
      </c>
      <c r="CG73" s="107">
        <f t="shared" si="180"/>
        <v>1.1484802099278373</v>
      </c>
      <c r="CH73" s="107">
        <f t="shared" si="180"/>
        <v>0.71792303426254978</v>
      </c>
      <c r="CI73" s="107">
        <f t="shared" si="180"/>
        <v>0.54740149190045906</v>
      </c>
    </row>
    <row r="74" spans="2:87" x14ac:dyDescent="0.2">
      <c r="B74" s="6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c r="AL74" s="107"/>
      <c r="AM74" s="107"/>
      <c r="AN74" s="107"/>
      <c r="AO74" s="107"/>
      <c r="AP74" s="107"/>
      <c r="AQ74" s="107"/>
      <c r="AR74" s="107"/>
      <c r="AS74" s="107"/>
      <c r="AT74" s="107"/>
      <c r="AU74" s="107"/>
      <c r="AV74" s="107"/>
      <c r="AW74" s="107"/>
      <c r="AX74" s="107"/>
      <c r="AY74" s="107"/>
      <c r="AZ74" s="107"/>
      <c r="BA74" s="107"/>
      <c r="BB74" s="107"/>
      <c r="BC74" s="107"/>
      <c r="BD74" s="107"/>
      <c r="BE74" s="107"/>
      <c r="BF74" s="107"/>
      <c r="BG74" s="107"/>
      <c r="BH74" s="107"/>
      <c r="BI74" s="107"/>
      <c r="BJ74" s="107"/>
      <c r="BK74" s="107"/>
      <c r="BL74" s="107"/>
      <c r="BM74" s="107"/>
      <c r="BN74" s="107"/>
      <c r="BO74" s="107"/>
      <c r="BP74" s="107"/>
      <c r="BQ74" s="107"/>
      <c r="BR74" s="107"/>
      <c r="BS74" s="107"/>
      <c r="BT74" s="107"/>
      <c r="BU74" s="107"/>
      <c r="BV74" s="107"/>
      <c r="BW74" s="107"/>
      <c r="BX74" s="107"/>
      <c r="BY74" s="107"/>
      <c r="BZ74" s="107"/>
      <c r="CA74" s="107"/>
      <c r="CB74" s="107"/>
      <c r="CC74" s="107"/>
      <c r="CD74" s="107"/>
      <c r="CE74" s="107"/>
      <c r="CF74" s="107"/>
      <c r="CG74" s="107"/>
      <c r="CH74" s="107"/>
      <c r="CI74" s="107"/>
    </row>
    <row r="75" spans="2:87" x14ac:dyDescent="0.2">
      <c r="B75" s="62" t="s">
        <v>19</v>
      </c>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c r="AL75" s="107"/>
      <c r="AM75" s="107"/>
      <c r="AN75" s="107"/>
      <c r="AO75" s="107"/>
      <c r="AP75" s="107"/>
      <c r="AQ75" s="107"/>
      <c r="AR75" s="107"/>
      <c r="AS75" s="107"/>
      <c r="AT75" s="107"/>
      <c r="AU75" s="107"/>
      <c r="AV75" s="107"/>
      <c r="AW75" s="107"/>
      <c r="AX75" s="107"/>
      <c r="AY75" s="107"/>
      <c r="AZ75" s="107"/>
      <c r="BA75" s="107"/>
      <c r="BB75" s="107"/>
      <c r="BC75" s="107"/>
      <c r="BD75" s="107"/>
      <c r="BE75" s="107"/>
      <c r="BF75" s="107"/>
      <c r="BG75" s="107"/>
      <c r="BH75" s="107"/>
      <c r="BI75" s="107"/>
      <c r="BJ75" s="107"/>
      <c r="BK75" s="107"/>
      <c r="BL75" s="107"/>
      <c r="BM75" s="107"/>
      <c r="BN75" s="107"/>
      <c r="BO75" s="107"/>
      <c r="BP75" s="107"/>
      <c r="BQ75" s="107"/>
      <c r="BR75" s="107"/>
      <c r="BS75" s="107"/>
      <c r="BT75" s="107"/>
      <c r="BU75" s="107"/>
      <c r="BV75" s="107"/>
      <c r="BW75" s="107"/>
      <c r="BX75" s="107"/>
      <c r="BY75" s="107"/>
      <c r="BZ75" s="107"/>
      <c r="CA75" s="107"/>
      <c r="CB75" s="107"/>
      <c r="CC75" s="107"/>
      <c r="CD75" s="107"/>
      <c r="CE75" s="107"/>
      <c r="CF75" s="107"/>
      <c r="CG75" s="107"/>
      <c r="CH75" s="107"/>
      <c r="CI75" s="107"/>
    </row>
    <row r="76" spans="2:87" x14ac:dyDescent="0.2">
      <c r="B76" s="60" t="s">
        <v>526</v>
      </c>
      <c r="D76" s="107"/>
      <c r="E76" s="107"/>
      <c r="F76" s="107"/>
      <c r="G76" s="107"/>
      <c r="H76" s="191">
        <f>+H9-H70</f>
        <v>292</v>
      </c>
      <c r="I76" s="191">
        <f t="shared" ref="I76:BK76" si="181">+I9-I70</f>
        <v>416</v>
      </c>
      <c r="J76" s="191">
        <f t="shared" si="181"/>
        <v>443</v>
      </c>
      <c r="K76" s="191">
        <f t="shared" si="181"/>
        <v>480</v>
      </c>
      <c r="L76" s="191">
        <f t="shared" si="181"/>
        <v>567</v>
      </c>
      <c r="M76" s="191">
        <f t="shared" si="181"/>
        <v>1788</v>
      </c>
      <c r="N76" s="191">
        <f t="shared" si="181"/>
        <v>709</v>
      </c>
      <c r="O76" s="191">
        <f t="shared" si="181"/>
        <v>838</v>
      </c>
      <c r="P76" s="191">
        <f t="shared" si="181"/>
        <v>852</v>
      </c>
      <c r="Q76" s="191">
        <f t="shared" si="181"/>
        <v>1021</v>
      </c>
      <c r="R76" s="191">
        <f t="shared" si="181"/>
        <v>1006</v>
      </c>
      <c r="S76" s="191">
        <f t="shared" si="181"/>
        <v>1178</v>
      </c>
      <c r="T76" s="191">
        <f t="shared" si="181"/>
        <v>1163</v>
      </c>
      <c r="U76" s="191">
        <f t="shared" si="181"/>
        <v>1263</v>
      </c>
      <c r="V76" s="191">
        <f t="shared" si="181"/>
        <v>1517</v>
      </c>
      <c r="W76" s="191">
        <f t="shared" si="181"/>
        <v>2285</v>
      </c>
      <c r="X76" s="191">
        <f t="shared" si="181"/>
        <v>2153</v>
      </c>
      <c r="Y76" s="191">
        <f t="shared" si="181"/>
        <v>2310</v>
      </c>
      <c r="Z76" s="191">
        <f t="shared" si="181"/>
        <v>2556</v>
      </c>
      <c r="AA76" s="191">
        <f t="shared" si="181"/>
        <v>2738</v>
      </c>
      <c r="AB76" s="191">
        <f t="shared" si="181"/>
        <v>2820</v>
      </c>
      <c r="AC76" s="191">
        <f t="shared" si="181"/>
        <v>3117</v>
      </c>
      <c r="AD76" s="191">
        <f t="shared" si="181"/>
        <v>3303</v>
      </c>
      <c r="AE76" s="191">
        <f t="shared" si="181"/>
        <v>3629</v>
      </c>
      <c r="AF76" s="191">
        <f t="shared" si="181"/>
        <v>4034</v>
      </c>
      <c r="AG76" s="191">
        <f t="shared" si="181"/>
        <v>4191</v>
      </c>
      <c r="AH76" s="191">
        <f t="shared" si="181"/>
        <v>4434</v>
      </c>
      <c r="AI76" s="191">
        <f t="shared" si="181"/>
        <v>4767</v>
      </c>
      <c r="AJ76" s="191">
        <f t="shared" si="181"/>
        <v>5568</v>
      </c>
      <c r="AK76" s="191">
        <f t="shared" si="181"/>
        <v>6334</v>
      </c>
      <c r="AL76" s="191">
        <f t="shared" si="181"/>
        <v>6839</v>
      </c>
      <c r="AM76" s="191">
        <f t="shared" si="181"/>
        <v>7869</v>
      </c>
      <c r="AN76" s="191">
        <f t="shared" si="181"/>
        <v>7405</v>
      </c>
      <c r="AO76" s="191">
        <f t="shared" si="181"/>
        <v>8758</v>
      </c>
      <c r="AP76" s="191">
        <f t="shared" si="181"/>
        <v>9051</v>
      </c>
      <c r="AQ76" s="191">
        <f t="shared" si="181"/>
        <v>10206</v>
      </c>
      <c r="AR76" s="191">
        <f t="shared" si="181"/>
        <v>10247</v>
      </c>
      <c r="AS76" s="191">
        <f t="shared" si="181"/>
        <v>11020</v>
      </c>
      <c r="AT76" s="191">
        <f t="shared" si="181"/>
        <v>11732</v>
      </c>
      <c r="AU76" s="191">
        <f t="shared" si="181"/>
        <v>13434</v>
      </c>
      <c r="AV76" s="191">
        <f t="shared" si="181"/>
        <v>12821</v>
      </c>
      <c r="AW76" s="191">
        <f t="shared" si="181"/>
        <v>14725</v>
      </c>
      <c r="AX76" s="191">
        <f t="shared" si="181"/>
        <v>16592</v>
      </c>
      <c r="AY76" s="191">
        <f t="shared" si="181"/>
        <v>19072</v>
      </c>
      <c r="AZ76" s="191">
        <f t="shared" si="181"/>
        <v>17228</v>
      </c>
      <c r="BA76" s="191">
        <f t="shared" si="181"/>
        <v>18485</v>
      </c>
      <c r="BB76" s="191">
        <f t="shared" si="181"/>
        <v>19462</v>
      </c>
      <c r="BC76" s="191">
        <f t="shared" si="181"/>
        <v>19192</v>
      </c>
      <c r="BD76" s="191">
        <f t="shared" si="181"/>
        <v>17750</v>
      </c>
      <c r="BE76" s="191">
        <f t="shared" si="181"/>
        <v>17334</v>
      </c>
      <c r="BF76" s="191">
        <f t="shared" si="181"/>
        <v>17160</v>
      </c>
      <c r="BG76" s="191">
        <f t="shared" si="181"/>
        <v>19407</v>
      </c>
      <c r="BH76" s="191">
        <f t="shared" si="181"/>
        <v>19017</v>
      </c>
      <c r="BI76" s="191">
        <f>+BI9-BI70</f>
        <v>19187</v>
      </c>
      <c r="BJ76" s="191">
        <f>+BJ9-BJ70</f>
        <v>19212</v>
      </c>
      <c r="BK76" s="191">
        <f t="shared" si="181"/>
        <v>22150.216606676651</v>
      </c>
      <c r="BL76" s="191">
        <f t="shared" ref="BL76:BO76" si="182">+BL9-BL70</f>
        <v>20819.39646280231</v>
      </c>
      <c r="BM76" s="191">
        <f t="shared" si="182"/>
        <v>21069.825087948826</v>
      </c>
      <c r="BN76" s="191">
        <f t="shared" si="182"/>
        <v>21662.532581878302</v>
      </c>
      <c r="BO76" s="191">
        <f t="shared" si="182"/>
        <v>25563.521433413109</v>
      </c>
      <c r="BP76" s="107"/>
      <c r="BQ76" s="107"/>
      <c r="BR76" s="107"/>
      <c r="BS76" s="191">
        <f t="shared" ref="BS76:CH76" si="183">+BS9-BS70</f>
        <v>437</v>
      </c>
      <c r="BT76" s="191">
        <f t="shared" si="183"/>
        <v>803</v>
      </c>
      <c r="BU76" s="191">
        <f t="shared" si="183"/>
        <v>1631</v>
      </c>
      <c r="BV76" s="191">
        <f t="shared" si="183"/>
        <v>3902</v>
      </c>
      <c r="BW76" s="191">
        <f t="shared" si="183"/>
        <v>4057</v>
      </c>
      <c r="BX76" s="191">
        <f t="shared" si="183"/>
        <v>6228</v>
      </c>
      <c r="BY76" s="191">
        <f t="shared" si="183"/>
        <v>9757</v>
      </c>
      <c r="BZ76" s="191">
        <f t="shared" si="183"/>
        <v>12869</v>
      </c>
      <c r="CA76" s="191">
        <f t="shared" si="183"/>
        <v>17426</v>
      </c>
      <c r="CB76" s="191">
        <f t="shared" si="183"/>
        <v>26610</v>
      </c>
      <c r="CC76" s="191">
        <f t="shared" si="183"/>
        <v>35420</v>
      </c>
      <c r="CD76" s="191">
        <f t="shared" si="183"/>
        <v>46433</v>
      </c>
      <c r="CE76" s="191">
        <f t="shared" si="183"/>
        <v>63210</v>
      </c>
      <c r="CF76" s="191">
        <f t="shared" si="183"/>
        <v>74367</v>
      </c>
      <c r="CG76" s="191">
        <f t="shared" si="183"/>
        <v>71651</v>
      </c>
      <c r="CH76" s="191">
        <f t="shared" si="183"/>
        <v>79566.216606676666</v>
      </c>
      <c r="CI76" s="191">
        <f t="shared" ref="CI76" si="184">+CI9-CI70</f>
        <v>89115.275566042546</v>
      </c>
    </row>
    <row r="77" spans="2:87" x14ac:dyDescent="0.2">
      <c r="B77" s="101" t="s">
        <v>17</v>
      </c>
      <c r="D77" s="107"/>
      <c r="E77" s="107"/>
      <c r="F77" s="107"/>
      <c r="G77" s="107"/>
      <c r="H77" s="107"/>
      <c r="I77" s="107"/>
      <c r="J77" s="107"/>
      <c r="K77" s="107"/>
      <c r="L77" s="106">
        <f t="shared" ref="L77:AQ77" si="185">+L76/H76-1</f>
        <v>0.94178082191780832</v>
      </c>
      <c r="M77" s="106">
        <f t="shared" si="185"/>
        <v>3.2980769230769234</v>
      </c>
      <c r="N77" s="106">
        <f t="shared" si="185"/>
        <v>0.60045146726862297</v>
      </c>
      <c r="O77" s="106">
        <f t="shared" si="185"/>
        <v>0.74583333333333335</v>
      </c>
      <c r="P77" s="106">
        <f t="shared" si="185"/>
        <v>0.50264550264550256</v>
      </c>
      <c r="Q77" s="106">
        <f t="shared" si="185"/>
        <v>-0.42897091722595082</v>
      </c>
      <c r="R77" s="106">
        <f t="shared" si="185"/>
        <v>0.41889985895627646</v>
      </c>
      <c r="S77" s="106">
        <f t="shared" si="185"/>
        <v>0.40572792362768495</v>
      </c>
      <c r="T77" s="106">
        <f t="shared" si="185"/>
        <v>0.36502347417840375</v>
      </c>
      <c r="U77" s="106">
        <f t="shared" si="185"/>
        <v>0.23702252693437798</v>
      </c>
      <c r="V77" s="106">
        <f t="shared" si="185"/>
        <v>0.50795228628230626</v>
      </c>
      <c r="W77" s="106">
        <f t="shared" si="185"/>
        <v>0.93972835314091685</v>
      </c>
      <c r="X77" s="106">
        <f t="shared" si="185"/>
        <v>0.85124677558039563</v>
      </c>
      <c r="Y77" s="106">
        <f t="shared" si="185"/>
        <v>0.82897862232779107</v>
      </c>
      <c r="Z77" s="106">
        <f t="shared" si="185"/>
        <v>0.68490441661173374</v>
      </c>
      <c r="AA77" s="106">
        <f t="shared" si="185"/>
        <v>0.19824945295404817</v>
      </c>
      <c r="AB77" s="106">
        <f t="shared" si="185"/>
        <v>0.30980027868091042</v>
      </c>
      <c r="AC77" s="106">
        <f t="shared" si="185"/>
        <v>0.3493506493506493</v>
      </c>
      <c r="AD77" s="106">
        <f t="shared" si="185"/>
        <v>0.29225352112676051</v>
      </c>
      <c r="AE77" s="106">
        <f t="shared" si="185"/>
        <v>0.32542001460920389</v>
      </c>
      <c r="AF77" s="106">
        <f t="shared" si="185"/>
        <v>0.43049645390070923</v>
      </c>
      <c r="AG77" s="106">
        <f t="shared" si="185"/>
        <v>0.34456207892204049</v>
      </c>
      <c r="AH77" s="106">
        <f t="shared" si="185"/>
        <v>0.34241598546775665</v>
      </c>
      <c r="AI77" s="106">
        <f t="shared" si="185"/>
        <v>0.31358500964453007</v>
      </c>
      <c r="AJ77" s="106">
        <f t="shared" si="185"/>
        <v>0.38026772434308387</v>
      </c>
      <c r="AK77" s="106">
        <f t="shared" si="185"/>
        <v>0.51133381054640892</v>
      </c>
      <c r="AL77" s="106">
        <f t="shared" si="185"/>
        <v>0.54239963915200717</v>
      </c>
      <c r="AM77" s="106">
        <f t="shared" si="185"/>
        <v>0.65072372561359337</v>
      </c>
      <c r="AN77" s="106">
        <f t="shared" si="185"/>
        <v>0.32992097701149414</v>
      </c>
      <c r="AO77" s="106">
        <f t="shared" si="185"/>
        <v>0.38269655825702564</v>
      </c>
      <c r="AP77" s="106">
        <f t="shared" si="185"/>
        <v>0.32343909928352099</v>
      </c>
      <c r="AQ77" s="106">
        <f t="shared" si="185"/>
        <v>0.29698818147159733</v>
      </c>
      <c r="AR77" s="106">
        <f t="shared" ref="AR77:BK77" si="186">+AR76/AN76-1</f>
        <v>0.3837947332883187</v>
      </c>
      <c r="AS77" s="106">
        <f t="shared" si="186"/>
        <v>0.25827814569536423</v>
      </c>
      <c r="AT77" s="106">
        <f t="shared" si="186"/>
        <v>0.29621036349574625</v>
      </c>
      <c r="AU77" s="106">
        <f t="shared" si="186"/>
        <v>0.31628453850676075</v>
      </c>
      <c r="AV77" s="106">
        <f t="shared" si="186"/>
        <v>0.25119547184541813</v>
      </c>
      <c r="AW77" s="106">
        <f t="shared" si="186"/>
        <v>0.3362068965517242</v>
      </c>
      <c r="AX77" s="106">
        <f t="shared" si="186"/>
        <v>0.41425161950221612</v>
      </c>
      <c r="AY77" s="106">
        <f t="shared" si="186"/>
        <v>0.41968140538931076</v>
      </c>
      <c r="AZ77" s="106">
        <f t="shared" si="186"/>
        <v>0.34373293814835026</v>
      </c>
      <c r="BA77" s="106">
        <f t="shared" si="186"/>
        <v>0.2553480475382004</v>
      </c>
      <c r="BB77" s="106">
        <f t="shared" si="186"/>
        <v>0.17297492767598843</v>
      </c>
      <c r="BC77" s="106">
        <f t="shared" si="186"/>
        <v>6.2919463087247607E-3</v>
      </c>
      <c r="BD77" s="106">
        <f t="shared" si="186"/>
        <v>3.0299512421639196E-2</v>
      </c>
      <c r="BE77" s="106">
        <f t="shared" si="186"/>
        <v>-6.226670273194479E-2</v>
      </c>
      <c r="BF77" s="106">
        <f t="shared" si="186"/>
        <v>-0.118281779878738</v>
      </c>
      <c r="BG77" s="106">
        <f t="shared" si="186"/>
        <v>1.1202584410170857E-2</v>
      </c>
      <c r="BH77" s="106">
        <f t="shared" si="186"/>
        <v>7.1380281690140768E-2</v>
      </c>
      <c r="BI77" s="106">
        <f t="shared" si="186"/>
        <v>0.10689973462559132</v>
      </c>
      <c r="BJ77" s="106">
        <f t="shared" si="186"/>
        <v>0.11958041958041954</v>
      </c>
      <c r="BK77" s="106">
        <f t="shared" si="186"/>
        <v>0.14135191460177521</v>
      </c>
      <c r="BL77" s="106">
        <f t="shared" ref="BL77" si="187">+BL76/BH76-1</f>
        <v>9.4778170205726875E-2</v>
      </c>
      <c r="BM77" s="106">
        <f t="shared" ref="BM77" si="188">+BM76/BI76-1</f>
        <v>9.8130249020108806E-2</v>
      </c>
      <c r="BN77" s="106">
        <f t="shared" ref="BN77" si="189">+BN76/BJ76-1</f>
        <v>0.12755218519041756</v>
      </c>
      <c r="BO77" s="106">
        <f t="shared" ref="BO77" si="190">+BO76/BK76-1</f>
        <v>0.1540980337730693</v>
      </c>
      <c r="BP77" s="106"/>
      <c r="BQ77" s="106"/>
      <c r="BR77" s="106"/>
      <c r="BS77" s="106"/>
      <c r="BT77" s="106">
        <f t="shared" ref="BT77:CI77" si="191">+BT76/BS76-1</f>
        <v>0.8375286041189931</v>
      </c>
      <c r="BU77" s="106">
        <f t="shared" si="191"/>
        <v>1.0311332503113326</v>
      </c>
      <c r="BV77" s="106">
        <f t="shared" si="191"/>
        <v>1.392397302268547</v>
      </c>
      <c r="BW77" s="106">
        <f t="shared" si="191"/>
        <v>3.9723218862121934E-2</v>
      </c>
      <c r="BX77" s="106">
        <f t="shared" si="191"/>
        <v>0.53512447621395109</v>
      </c>
      <c r="BY77" s="106">
        <f t="shared" si="191"/>
        <v>0.56663455362877335</v>
      </c>
      <c r="BZ77" s="106">
        <f t="shared" si="191"/>
        <v>0.31895049707902023</v>
      </c>
      <c r="CA77" s="106">
        <f t="shared" si="191"/>
        <v>0.35410676820265752</v>
      </c>
      <c r="CB77" s="106">
        <f t="shared" si="191"/>
        <v>0.52702857798691616</v>
      </c>
      <c r="CC77" s="106">
        <f t="shared" si="191"/>
        <v>0.33107854190154073</v>
      </c>
      <c r="CD77" s="106">
        <f t="shared" si="191"/>
        <v>0.31092603049124778</v>
      </c>
      <c r="CE77" s="106">
        <f t="shared" si="191"/>
        <v>0.3613163052139643</v>
      </c>
      <c r="CF77" s="106">
        <f t="shared" si="191"/>
        <v>0.17650688182249641</v>
      </c>
      <c r="CG77" s="106">
        <f t="shared" si="191"/>
        <v>-3.6521575429962261E-2</v>
      </c>
      <c r="CH77" s="106">
        <f t="shared" si="191"/>
        <v>0.11046903192804947</v>
      </c>
      <c r="CI77" s="106">
        <f t="shared" si="191"/>
        <v>0.12001398792869811</v>
      </c>
    </row>
    <row r="78" spans="2:87" x14ac:dyDescent="0.2">
      <c r="B78" s="101" t="s">
        <v>20</v>
      </c>
      <c r="D78" s="107"/>
      <c r="E78" s="107"/>
      <c r="F78" s="107"/>
      <c r="G78" s="107"/>
      <c r="H78" s="107">
        <f>+H76/H9</f>
        <v>0.39945280437756497</v>
      </c>
      <c r="I78" s="107">
        <f t="shared" ref="I78:BK78" si="192">+I76/I9</f>
        <v>0.46480446927374303</v>
      </c>
      <c r="J78" s="107">
        <f t="shared" si="192"/>
        <v>0.46436058700209643</v>
      </c>
      <c r="K78" s="107">
        <f t="shared" si="192"/>
        <v>0.4244031830238727</v>
      </c>
      <c r="L78" s="107">
        <f t="shared" si="192"/>
        <v>0.53591682419659736</v>
      </c>
      <c r="M78" s="107">
        <f t="shared" si="192"/>
        <v>1.5101351351351351</v>
      </c>
      <c r="N78" s="107">
        <f t="shared" si="192"/>
        <v>0.56180665610142633</v>
      </c>
      <c r="O78" s="107">
        <f t="shared" si="192"/>
        <v>0.52870662460567819</v>
      </c>
      <c r="P78" s="107">
        <f t="shared" si="192"/>
        <v>0.58436213991769548</v>
      </c>
      <c r="Q78" s="107">
        <f t="shared" si="192"/>
        <v>0.56315499172642025</v>
      </c>
      <c r="R78" s="107">
        <f t="shared" si="192"/>
        <v>0.49900793650793651</v>
      </c>
      <c r="S78" s="107">
        <f t="shared" si="192"/>
        <v>0.45570599613152807</v>
      </c>
      <c r="T78" s="107">
        <f t="shared" si="192"/>
        <v>0.46482813749000801</v>
      </c>
      <c r="U78" s="107">
        <f t="shared" si="192"/>
        <v>0.43402061855670104</v>
      </c>
      <c r="V78" s="107">
        <f t="shared" si="192"/>
        <v>0.47361848267249451</v>
      </c>
      <c r="W78" s="107">
        <f t="shared" si="192"/>
        <v>0.59335237600623214</v>
      </c>
      <c r="X78" s="107">
        <f t="shared" si="192"/>
        <v>0.60767710979395995</v>
      </c>
      <c r="Y78" s="107">
        <f t="shared" si="192"/>
        <v>0.57149925779317168</v>
      </c>
      <c r="Z78" s="107">
        <f t="shared" si="192"/>
        <v>0.56787380582092872</v>
      </c>
      <c r="AA78" s="107">
        <f t="shared" si="192"/>
        <v>0.46875535011128233</v>
      </c>
      <c r="AB78" s="107">
        <f t="shared" si="192"/>
        <v>0.52396878483835008</v>
      </c>
      <c r="AC78" s="107">
        <f t="shared" si="192"/>
        <v>0.48430702299564948</v>
      </c>
      <c r="AD78" s="107">
        <f t="shared" si="192"/>
        <v>0.47111681643132219</v>
      </c>
      <c r="AE78" s="107">
        <f t="shared" si="192"/>
        <v>0.41196503575888294</v>
      </c>
      <c r="AF78" s="107">
        <f t="shared" si="192"/>
        <v>0.50224103585657376</v>
      </c>
      <c r="AG78" s="107">
        <f t="shared" si="192"/>
        <v>0.4496298680399099</v>
      </c>
      <c r="AH78" s="107">
        <f t="shared" si="192"/>
        <v>0.42931835786212241</v>
      </c>
      <c r="AI78" s="107">
        <f t="shared" si="192"/>
        <v>0.36748381128584645</v>
      </c>
      <c r="AJ78" s="107">
        <f t="shared" si="192"/>
        <v>0.46531840213939496</v>
      </c>
      <c r="AK78" s="107">
        <f t="shared" si="192"/>
        <v>0.47872420829869244</v>
      </c>
      <c r="AL78" s="107">
        <f t="shared" si="192"/>
        <v>0.49821519632840389</v>
      </c>
      <c r="AM78" s="107">
        <f t="shared" si="192"/>
        <v>0.46523589925505499</v>
      </c>
      <c r="AN78" s="107">
        <f t="shared" si="192"/>
        <v>0.49114545333952375</v>
      </c>
      <c r="AO78" s="107">
        <f t="shared" si="192"/>
        <v>0.51865450669193414</v>
      </c>
      <c r="AP78" s="107">
        <f t="shared" si="192"/>
        <v>0.51274643099932016</v>
      </c>
      <c r="AQ78" s="107">
        <f t="shared" si="192"/>
        <v>0.48410966701451474</v>
      </c>
      <c r="AR78" s="107">
        <f t="shared" si="192"/>
        <v>0.57771889271015386</v>
      </c>
      <c r="AS78" s="107">
        <f t="shared" si="192"/>
        <v>0.58971477497725688</v>
      </c>
      <c r="AT78" s="107">
        <f t="shared" si="192"/>
        <v>0.54643688868188167</v>
      </c>
      <c r="AU78" s="107">
        <f t="shared" si="192"/>
        <v>0.47855514391564546</v>
      </c>
      <c r="AV78" s="107">
        <f t="shared" si="192"/>
        <v>0.4898933934507661</v>
      </c>
      <c r="AW78" s="107">
        <f t="shared" si="192"/>
        <v>0.50641400419575611</v>
      </c>
      <c r="AX78" s="107">
        <f t="shared" si="192"/>
        <v>0.5719407100999655</v>
      </c>
      <c r="AY78" s="107">
        <f t="shared" si="192"/>
        <v>0.5664221436844763</v>
      </c>
      <c r="AZ78" s="107">
        <f t="shared" si="192"/>
        <v>0.61731403181883326</v>
      </c>
      <c r="BA78" s="107">
        <f t="shared" si="192"/>
        <v>0.64135035736590107</v>
      </c>
      <c r="BB78" s="107">
        <f t="shared" si="192"/>
        <v>0.70224435303456734</v>
      </c>
      <c r="BC78" s="107">
        <f t="shared" si="192"/>
        <v>0.59667340276698277</v>
      </c>
      <c r="BD78" s="107">
        <f t="shared" si="192"/>
        <v>0.61965438994588928</v>
      </c>
      <c r="BE78" s="107">
        <f t="shared" si="192"/>
        <v>0.54170442826338328</v>
      </c>
      <c r="BF78" s="107">
        <f t="shared" si="192"/>
        <v>0.50254788262168337</v>
      </c>
      <c r="BG78" s="107">
        <f t="shared" si="192"/>
        <v>0.48383236518660716</v>
      </c>
      <c r="BH78" s="107">
        <f t="shared" si="192"/>
        <v>0.52165683719654365</v>
      </c>
      <c r="BI78" s="107">
        <f>+BI76/BI9</f>
        <v>0.49108034091781627</v>
      </c>
      <c r="BJ78" s="107">
        <f>+BJ76/BJ9</f>
        <v>0.47333021261918251</v>
      </c>
      <c r="BK78" s="107">
        <f t="shared" si="192"/>
        <v>0.47282557849832973</v>
      </c>
      <c r="BL78" s="107">
        <f t="shared" ref="BL78:BO78" si="193">+BL76/BL9</f>
        <v>0.50420912772525972</v>
      </c>
      <c r="BM78" s="107">
        <f t="shared" si="193"/>
        <v>0.47667314031203495</v>
      </c>
      <c r="BN78" s="107">
        <f t="shared" si="193"/>
        <v>0.47466403191979922</v>
      </c>
      <c r="BO78" s="107">
        <f t="shared" si="193"/>
        <v>0.48297622448302835</v>
      </c>
      <c r="BP78" s="107"/>
      <c r="BQ78" s="107"/>
      <c r="BR78" s="107"/>
      <c r="BS78" s="107">
        <f t="shared" ref="BS78:CH78" si="194">+BS76/BS9</f>
        <v>0.56241956241956237</v>
      </c>
      <c r="BT78" s="107">
        <f t="shared" si="194"/>
        <v>0.40678824721377915</v>
      </c>
      <c r="BU78" s="107">
        <f t="shared" si="194"/>
        <v>0.43950417677175962</v>
      </c>
      <c r="BV78" s="107">
        <f t="shared" si="194"/>
        <v>0.76675181764590294</v>
      </c>
      <c r="BW78" s="107">
        <f t="shared" si="194"/>
        <v>0.5153709349593496</v>
      </c>
      <c r="BX78" s="107">
        <f t="shared" si="194"/>
        <v>0.49959890903256859</v>
      </c>
      <c r="BY78" s="107">
        <f t="shared" si="194"/>
        <v>0.5442628437552296</v>
      </c>
      <c r="BZ78" s="107">
        <f t="shared" si="194"/>
        <v>0.46562703524133442</v>
      </c>
      <c r="CA78" s="107">
        <f t="shared" si="194"/>
        <v>0.42865225198632328</v>
      </c>
      <c r="CB78" s="107">
        <f t="shared" si="194"/>
        <v>0.47655718328020347</v>
      </c>
      <c r="CC78" s="107">
        <f t="shared" si="194"/>
        <v>0.50101135833203669</v>
      </c>
      <c r="CD78" s="107">
        <f t="shared" si="194"/>
        <v>0.54013214526673337</v>
      </c>
      <c r="CE78" s="107">
        <f t="shared" si="194"/>
        <v>0.5360004748619932</v>
      </c>
      <c r="CF78" s="107">
        <f t="shared" si="194"/>
        <v>0.63774665763363036</v>
      </c>
      <c r="CG78" s="107">
        <f t="shared" si="194"/>
        <v>0.53113764909081473</v>
      </c>
      <c r="CH78" s="107">
        <f t="shared" si="194"/>
        <v>0.48825166488290639</v>
      </c>
      <c r="CI78" s="107">
        <f t="shared" ref="CI78" si="195">+CI76/CI9</f>
        <v>0.48416483523853293</v>
      </c>
    </row>
    <row r="79" spans="2:87" x14ac:dyDescent="0.2">
      <c r="B79" s="6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7"/>
      <c r="AM79" s="107"/>
      <c r="AN79" s="107"/>
      <c r="AO79" s="107"/>
      <c r="AP79" s="107"/>
      <c r="AQ79" s="107"/>
      <c r="AR79" s="107"/>
      <c r="AS79" s="107"/>
      <c r="AT79" s="107"/>
      <c r="AU79" s="107"/>
      <c r="AV79" s="107"/>
      <c r="AW79" s="107"/>
      <c r="AX79" s="107"/>
      <c r="AY79" s="107"/>
      <c r="AZ79" s="107"/>
      <c r="BA79" s="107"/>
      <c r="BB79" s="107"/>
      <c r="BC79" s="107"/>
      <c r="BD79" s="107"/>
      <c r="BE79" s="107"/>
      <c r="BF79" s="107"/>
      <c r="BG79" s="107"/>
      <c r="BH79" s="107"/>
      <c r="BI79" s="107"/>
      <c r="BJ79" s="107"/>
      <c r="BK79" s="107"/>
      <c r="BL79" s="107"/>
      <c r="BM79" s="107"/>
      <c r="BN79" s="107"/>
      <c r="BO79" s="107"/>
      <c r="BP79" s="107"/>
      <c r="BQ79" s="107"/>
      <c r="BR79" s="107"/>
      <c r="BS79" s="107"/>
      <c r="BT79" s="107"/>
      <c r="BU79" s="107"/>
      <c r="BV79" s="107"/>
      <c r="BW79" s="107"/>
      <c r="BX79" s="107"/>
      <c r="BY79" s="107"/>
      <c r="BZ79" s="107"/>
      <c r="CA79" s="107"/>
      <c r="CB79" s="107"/>
      <c r="CC79" s="107"/>
      <c r="CD79" s="107"/>
      <c r="CE79" s="107"/>
      <c r="CF79" s="107"/>
      <c r="CG79" s="107"/>
      <c r="CH79" s="107"/>
      <c r="CI79" s="107"/>
    </row>
    <row r="80" spans="2:87" ht="13.5" x14ac:dyDescent="0.35">
      <c r="B80" t="s">
        <v>522</v>
      </c>
      <c r="H80" s="73">
        <f>+H450</f>
        <v>10</v>
      </c>
      <c r="I80" s="73">
        <f t="shared" ref="I80:AT80" si="196">+I450</f>
        <v>-8</v>
      </c>
      <c r="J80" s="73">
        <f t="shared" si="196"/>
        <v>-35</v>
      </c>
      <c r="K80" s="73">
        <f t="shared" si="196"/>
        <v>-28</v>
      </c>
      <c r="L80" s="73">
        <f t="shared" si="196"/>
        <v>1</v>
      </c>
      <c r="M80" s="73">
        <f t="shared" si="196"/>
        <v>-22</v>
      </c>
      <c r="N80" s="73">
        <f t="shared" si="196"/>
        <v>-5</v>
      </c>
      <c r="O80" s="73">
        <f t="shared" si="196"/>
        <v>-18</v>
      </c>
      <c r="P80" s="73">
        <f t="shared" si="196"/>
        <v>-20</v>
      </c>
      <c r="Q80" s="73">
        <f t="shared" si="196"/>
        <v>-17</v>
      </c>
      <c r="R80" s="73">
        <f t="shared" si="196"/>
        <v>-10</v>
      </c>
      <c r="S80" s="73">
        <f t="shared" si="196"/>
        <v>3</v>
      </c>
      <c r="T80" s="73">
        <f t="shared" si="196"/>
        <v>0</v>
      </c>
      <c r="U80" s="73">
        <f t="shared" si="196"/>
        <v>-4</v>
      </c>
      <c r="V80" s="73">
        <f t="shared" si="196"/>
        <v>-61</v>
      </c>
      <c r="W80" s="73">
        <f t="shared" si="196"/>
        <v>-19</v>
      </c>
      <c r="X80" s="73">
        <f t="shared" si="196"/>
        <v>-1</v>
      </c>
      <c r="Y80" s="73">
        <f t="shared" si="196"/>
        <v>0</v>
      </c>
      <c r="Z80" s="73">
        <f t="shared" si="196"/>
        <v>-27</v>
      </c>
      <c r="AA80" s="73">
        <f t="shared" si="196"/>
        <v>-3</v>
      </c>
      <c r="AB80" s="73">
        <f t="shared" si="196"/>
        <v>56</v>
      </c>
      <c r="AC80" s="73">
        <f t="shared" si="196"/>
        <v>20</v>
      </c>
      <c r="AD80" s="73">
        <f t="shared" si="196"/>
        <v>47</v>
      </c>
      <c r="AE80" s="73">
        <f t="shared" si="196"/>
        <v>-33</v>
      </c>
      <c r="AF80" s="73">
        <f t="shared" si="196"/>
        <v>81</v>
      </c>
      <c r="AG80" s="73">
        <f t="shared" si="196"/>
        <v>87</v>
      </c>
      <c r="AH80" s="73">
        <f t="shared" si="196"/>
        <v>114</v>
      </c>
      <c r="AI80" s="73">
        <f t="shared" si="196"/>
        <v>109</v>
      </c>
      <c r="AJ80" s="73">
        <f t="shared" si="196"/>
        <v>161</v>
      </c>
      <c r="AK80" s="73">
        <f t="shared" si="196"/>
        <v>5</v>
      </c>
      <c r="AL80" s="73">
        <f t="shared" si="196"/>
        <v>131</v>
      </c>
      <c r="AM80" s="73">
        <f t="shared" si="196"/>
        <v>151</v>
      </c>
      <c r="AN80" s="73">
        <f t="shared" si="196"/>
        <v>165</v>
      </c>
      <c r="AO80" s="73">
        <f t="shared" si="196"/>
        <v>206</v>
      </c>
      <c r="AP80" s="73">
        <f t="shared" si="196"/>
        <v>144</v>
      </c>
      <c r="AQ80" s="73">
        <f t="shared" si="196"/>
        <v>311</v>
      </c>
      <c r="AR80" s="73">
        <f t="shared" si="196"/>
        <v>-32</v>
      </c>
      <c r="AS80" s="73">
        <f t="shared" si="196"/>
        <v>168</v>
      </c>
      <c r="AT80" s="73">
        <f t="shared" si="196"/>
        <v>93</v>
      </c>
      <c r="AU80" s="73">
        <f t="shared" ref="AU80:AZ80" si="197">+AU450</f>
        <v>280</v>
      </c>
      <c r="AV80" s="73">
        <f t="shared" si="197"/>
        <v>125</v>
      </c>
      <c r="AW80" s="73">
        <f t="shared" si="197"/>
        <v>146</v>
      </c>
      <c r="AX80" s="73">
        <f t="shared" si="197"/>
        <v>146</v>
      </c>
      <c r="AY80" s="73">
        <f t="shared" si="197"/>
        <v>117</v>
      </c>
      <c r="AZ80" s="73">
        <f t="shared" si="197"/>
        <v>384</v>
      </c>
      <c r="BA80" s="73">
        <f t="shared" ref="BA80:BI80" si="198">+BA450</f>
        <v>-172</v>
      </c>
      <c r="BB80" s="73">
        <f t="shared" si="198"/>
        <v>-88</v>
      </c>
      <c r="BC80" s="73">
        <f t="shared" si="198"/>
        <v>-250</v>
      </c>
      <c r="BD80" s="73">
        <f t="shared" si="198"/>
        <v>80</v>
      </c>
      <c r="BE80" s="73">
        <f t="shared" si="198"/>
        <v>-99</v>
      </c>
      <c r="BF80" s="73">
        <f t="shared" si="198"/>
        <v>272</v>
      </c>
      <c r="BG80" s="73">
        <f t="shared" si="198"/>
        <v>424</v>
      </c>
      <c r="BH80" s="73">
        <f t="shared" si="198"/>
        <v>365</v>
      </c>
      <c r="BI80" s="73">
        <f t="shared" si="198"/>
        <v>259</v>
      </c>
      <c r="BJ80" s="73">
        <f t="shared" ref="BJ80" si="199">+BJ450</f>
        <v>472</v>
      </c>
      <c r="BK80" s="71">
        <v>0</v>
      </c>
      <c r="BL80" s="71">
        <v>0</v>
      </c>
      <c r="BM80" s="71">
        <v>0</v>
      </c>
      <c r="BN80" s="71">
        <v>0</v>
      </c>
      <c r="BO80" s="71">
        <v>0</v>
      </c>
      <c r="BQ80" s="73">
        <f t="shared" ref="BQ80:BZ80" si="200">+BQ450</f>
        <v>-11</v>
      </c>
      <c r="BR80" s="73">
        <f t="shared" si="200"/>
        <v>-1</v>
      </c>
      <c r="BS80" s="73">
        <f t="shared" si="200"/>
        <v>-8</v>
      </c>
      <c r="BT80" s="73">
        <f t="shared" si="200"/>
        <v>-24</v>
      </c>
      <c r="BU80" s="73">
        <f t="shared" si="200"/>
        <v>-61</v>
      </c>
      <c r="BV80" s="73">
        <f t="shared" si="200"/>
        <v>-44</v>
      </c>
      <c r="BW80" s="73">
        <f t="shared" si="200"/>
        <v>-44</v>
      </c>
      <c r="BX80" s="73">
        <f t="shared" si="200"/>
        <v>-84</v>
      </c>
      <c r="BY80" s="73">
        <f t="shared" si="200"/>
        <v>-31</v>
      </c>
      <c r="BZ80" s="73">
        <f t="shared" si="200"/>
        <v>90</v>
      </c>
      <c r="CA80" s="65">
        <f>+SUM(AF80:AI80)</f>
        <v>391</v>
      </c>
      <c r="CB80" s="65">
        <f>SUM(AJ80:AM80)</f>
        <v>448</v>
      </c>
      <c r="CC80" s="65">
        <f>+SUM(AN80:AQ80)</f>
        <v>826</v>
      </c>
      <c r="CD80" s="65">
        <f>+SUM(AR80:AU80)</f>
        <v>509</v>
      </c>
      <c r="CE80" s="65">
        <f>+SUM(AV80:AY80)</f>
        <v>534</v>
      </c>
      <c r="CF80" s="65">
        <f>+SUM(AZ80:BC80)</f>
        <v>-126</v>
      </c>
      <c r="CG80" s="65">
        <f>+SUM(BD80:BG80)</f>
        <v>677</v>
      </c>
      <c r="CH80" s="65">
        <f>+SUM(BH80:BK80)</f>
        <v>1096</v>
      </c>
      <c r="CI80" s="65">
        <f>+SUM(BL80:BO80)</f>
        <v>0</v>
      </c>
    </row>
    <row r="81" spans="2:89" x14ac:dyDescent="0.2">
      <c r="B81" s="70" t="s">
        <v>521</v>
      </c>
      <c r="H81" s="74">
        <f t="shared" ref="H81:AM81" si="201">+H52+H80</f>
        <v>398</v>
      </c>
      <c r="I81" s="74">
        <f t="shared" si="201"/>
        <v>399</v>
      </c>
      <c r="J81" s="74">
        <f t="shared" si="201"/>
        <v>379</v>
      </c>
      <c r="K81" s="74">
        <f t="shared" si="201"/>
        <v>520</v>
      </c>
      <c r="L81" s="74">
        <f t="shared" si="201"/>
        <v>382</v>
      </c>
      <c r="M81" s="74">
        <f t="shared" si="201"/>
        <v>-765</v>
      </c>
      <c r="N81" s="74">
        <f t="shared" si="201"/>
        <v>372</v>
      </c>
      <c r="O81" s="74">
        <f t="shared" si="201"/>
        <v>505</v>
      </c>
      <c r="P81" s="74">
        <f t="shared" si="201"/>
        <v>353</v>
      </c>
      <c r="Q81" s="74">
        <f t="shared" si="201"/>
        <v>545</v>
      </c>
      <c r="R81" s="74">
        <f t="shared" si="201"/>
        <v>726</v>
      </c>
      <c r="S81" s="74">
        <f t="shared" si="201"/>
        <v>1136</v>
      </c>
      <c r="T81" s="74">
        <f t="shared" si="201"/>
        <v>1075</v>
      </c>
      <c r="U81" s="74">
        <f t="shared" si="201"/>
        <v>1386</v>
      </c>
      <c r="V81" s="74">
        <f t="shared" si="201"/>
        <v>1336</v>
      </c>
      <c r="W81" s="74">
        <f t="shared" si="201"/>
        <v>1114</v>
      </c>
      <c r="X81" s="74">
        <f t="shared" si="201"/>
        <v>932</v>
      </c>
      <c r="Y81" s="74">
        <f t="shared" si="201"/>
        <v>1273</v>
      </c>
      <c r="Z81" s="74">
        <f t="shared" si="201"/>
        <v>1432</v>
      </c>
      <c r="AA81" s="74">
        <f t="shared" si="201"/>
        <v>2557</v>
      </c>
      <c r="AB81" s="74">
        <f t="shared" si="201"/>
        <v>2066</v>
      </c>
      <c r="AC81" s="74">
        <f t="shared" si="201"/>
        <v>2754</v>
      </c>
      <c r="AD81" s="74">
        <f t="shared" si="201"/>
        <v>3164</v>
      </c>
      <c r="AE81" s="74">
        <f t="shared" si="201"/>
        <v>4533</v>
      </c>
      <c r="AF81" s="74">
        <f t="shared" si="201"/>
        <v>3408</v>
      </c>
      <c r="AG81" s="74">
        <f t="shared" si="201"/>
        <v>4488</v>
      </c>
      <c r="AH81" s="74">
        <f t="shared" si="201"/>
        <v>5236</v>
      </c>
      <c r="AI81" s="74">
        <f t="shared" si="201"/>
        <v>7461</v>
      </c>
      <c r="AJ81" s="74">
        <f t="shared" si="201"/>
        <v>5610</v>
      </c>
      <c r="AK81" s="74">
        <f t="shared" si="201"/>
        <v>5868</v>
      </c>
      <c r="AL81" s="74">
        <f t="shared" si="201"/>
        <v>5912</v>
      </c>
      <c r="AM81" s="74">
        <f t="shared" si="201"/>
        <v>7971</v>
      </c>
      <c r="AN81" s="74">
        <f t="shared" ref="AN81:BK81" si="202">+AN52+AN80</f>
        <v>6482</v>
      </c>
      <c r="AO81" s="74">
        <f t="shared" si="202"/>
        <v>6832</v>
      </c>
      <c r="AP81" s="74">
        <f t="shared" si="202"/>
        <v>7329</v>
      </c>
      <c r="AQ81" s="74">
        <f t="shared" si="202"/>
        <v>9719</v>
      </c>
      <c r="AR81" s="74">
        <f t="shared" si="202"/>
        <v>5861</v>
      </c>
      <c r="AS81" s="74">
        <f t="shared" si="202"/>
        <v>6131</v>
      </c>
      <c r="AT81" s="74">
        <f t="shared" si="202"/>
        <v>8133</v>
      </c>
      <c r="AU81" s="74">
        <f t="shared" si="202"/>
        <v>13055</v>
      </c>
      <c r="AV81" s="74">
        <f t="shared" si="202"/>
        <v>11503</v>
      </c>
      <c r="AW81" s="74">
        <f t="shared" si="202"/>
        <v>12513</v>
      </c>
      <c r="AX81" s="74">
        <f t="shared" si="202"/>
        <v>10569</v>
      </c>
      <c r="AY81" s="74">
        <f t="shared" si="202"/>
        <v>12702</v>
      </c>
      <c r="AZ81" s="74">
        <f t="shared" si="202"/>
        <v>8908</v>
      </c>
      <c r="BA81" s="74">
        <f t="shared" si="202"/>
        <v>8186</v>
      </c>
      <c r="BB81" s="74">
        <f t="shared" si="202"/>
        <v>5989</v>
      </c>
      <c r="BC81" s="74">
        <f t="shared" si="202"/>
        <v>10347</v>
      </c>
      <c r="BD81" s="74">
        <f t="shared" si="202"/>
        <v>8451</v>
      </c>
      <c r="BE81" s="74">
        <f t="shared" si="202"/>
        <v>11943</v>
      </c>
      <c r="BF81" s="74">
        <f t="shared" si="202"/>
        <v>14400</v>
      </c>
      <c r="BG81" s="74">
        <f t="shared" si="202"/>
        <v>17956</v>
      </c>
      <c r="BH81" s="74">
        <f t="shared" si="202"/>
        <v>14429</v>
      </c>
      <c r="BI81" s="74">
        <f>+BI52+BI80</f>
        <v>16506</v>
      </c>
      <c r="BJ81" s="74">
        <f>+BJ52+BJ80</f>
        <v>17822</v>
      </c>
      <c r="BK81" s="74">
        <f t="shared" si="202"/>
        <v>20298.479088629407</v>
      </c>
      <c r="BL81" s="74">
        <f t="shared" ref="BL81:BO81" si="203">+BL52+BL80</f>
        <v>15824.006847620505</v>
      </c>
      <c r="BM81" s="74">
        <f t="shared" si="203"/>
        <v>18234.215054466553</v>
      </c>
      <c r="BN81" s="74">
        <f t="shared" si="203"/>
        <v>18827.288903964269</v>
      </c>
      <c r="BO81" s="74">
        <f t="shared" si="203"/>
        <v>22662.406675317245</v>
      </c>
      <c r="BQ81" s="74">
        <f t="shared" ref="BQ81:BZ81" si="204">+BQ52+BQ80</f>
        <v>-135</v>
      </c>
      <c r="BR81" s="74">
        <f t="shared" si="204"/>
        <v>-56</v>
      </c>
      <c r="BS81" s="74">
        <f t="shared" si="204"/>
        <v>254</v>
      </c>
      <c r="BT81" s="74">
        <f t="shared" si="204"/>
        <v>1008</v>
      </c>
      <c r="BU81" s="74">
        <f t="shared" si="204"/>
        <v>1696</v>
      </c>
      <c r="BV81" s="74">
        <f t="shared" si="204"/>
        <v>494</v>
      </c>
      <c r="BW81" s="74">
        <f t="shared" si="204"/>
        <v>2760</v>
      </c>
      <c r="BX81" s="74">
        <f t="shared" si="204"/>
        <v>4911</v>
      </c>
      <c r="BY81" s="74">
        <f t="shared" si="204"/>
        <v>6194</v>
      </c>
      <c r="BZ81" s="74">
        <f t="shared" si="204"/>
        <v>12517</v>
      </c>
      <c r="CA81" s="64">
        <f>+SUM(AF81:AI81)</f>
        <v>20593</v>
      </c>
      <c r="CB81" s="64">
        <f>SUM(AJ81:AM81)</f>
        <v>25361</v>
      </c>
      <c r="CC81" s="64">
        <f>+SUM(AN81:AQ81)</f>
        <v>30362</v>
      </c>
      <c r="CD81" s="64">
        <f>+SUM(AR81:AU81)</f>
        <v>33180</v>
      </c>
      <c r="CE81" s="64">
        <f>+SUM(AV81:AY81)</f>
        <v>47287</v>
      </c>
      <c r="CF81" s="64">
        <f>+SUM(AZ81:BC81)</f>
        <v>33430</v>
      </c>
      <c r="CG81" s="64">
        <f>+SUM(BD81:BG81)</f>
        <v>52750</v>
      </c>
      <c r="CH81" s="64">
        <f>+SUM(BH81:BK81)</f>
        <v>69055.479088629407</v>
      </c>
      <c r="CI81" s="64">
        <f>+SUM(BL81:BO81)</f>
        <v>75547.917481368568</v>
      </c>
    </row>
    <row r="82" spans="2:89" ht="13.5" x14ac:dyDescent="0.35">
      <c r="B82" t="s">
        <v>524</v>
      </c>
      <c r="H82" s="73">
        <f>MIN(-0.2*H81,0)</f>
        <v>-79.600000000000009</v>
      </c>
      <c r="I82" s="73">
        <f t="shared" ref="I82:BK82" si="205">MIN(-0.2*I81,0)</f>
        <v>-79.800000000000011</v>
      </c>
      <c r="J82" s="73">
        <f t="shared" si="205"/>
        <v>-75.8</v>
      </c>
      <c r="K82" s="73">
        <f t="shared" si="205"/>
        <v>-104</v>
      </c>
      <c r="L82" s="73">
        <f t="shared" si="205"/>
        <v>-76.400000000000006</v>
      </c>
      <c r="M82" s="73">
        <f t="shared" si="205"/>
        <v>0</v>
      </c>
      <c r="N82" s="73">
        <f t="shared" si="205"/>
        <v>-74.400000000000006</v>
      </c>
      <c r="O82" s="73">
        <f t="shared" si="205"/>
        <v>-101</v>
      </c>
      <c r="P82" s="73">
        <f t="shared" si="205"/>
        <v>-70.600000000000009</v>
      </c>
      <c r="Q82" s="73">
        <f t="shared" si="205"/>
        <v>-109</v>
      </c>
      <c r="R82" s="73">
        <f t="shared" si="205"/>
        <v>-145.20000000000002</v>
      </c>
      <c r="S82" s="73">
        <f t="shared" si="205"/>
        <v>-227.20000000000002</v>
      </c>
      <c r="T82" s="73">
        <f t="shared" si="205"/>
        <v>-215</v>
      </c>
      <c r="U82" s="73">
        <f t="shared" si="205"/>
        <v>-277.2</v>
      </c>
      <c r="V82" s="73">
        <f t="shared" si="205"/>
        <v>-267.2</v>
      </c>
      <c r="W82" s="73">
        <f t="shared" si="205"/>
        <v>-222.8</v>
      </c>
      <c r="X82" s="73">
        <f t="shared" si="205"/>
        <v>-186.4</v>
      </c>
      <c r="Y82" s="73">
        <f t="shared" si="205"/>
        <v>-254.60000000000002</v>
      </c>
      <c r="Z82" s="73">
        <f t="shared" si="205"/>
        <v>-286.40000000000003</v>
      </c>
      <c r="AA82" s="73">
        <f t="shared" si="205"/>
        <v>-511.40000000000003</v>
      </c>
      <c r="AB82" s="73">
        <f t="shared" si="205"/>
        <v>-413.20000000000005</v>
      </c>
      <c r="AC82" s="73">
        <f t="shared" si="205"/>
        <v>-550.80000000000007</v>
      </c>
      <c r="AD82" s="73">
        <f t="shared" si="205"/>
        <v>-632.80000000000007</v>
      </c>
      <c r="AE82" s="73">
        <f t="shared" si="205"/>
        <v>-906.6</v>
      </c>
      <c r="AF82" s="73">
        <f t="shared" si="205"/>
        <v>-681.6</v>
      </c>
      <c r="AG82" s="73">
        <f t="shared" si="205"/>
        <v>-897.6</v>
      </c>
      <c r="AH82" s="73">
        <f t="shared" si="205"/>
        <v>-1047.2</v>
      </c>
      <c r="AI82" s="73">
        <f t="shared" si="205"/>
        <v>-1492.2</v>
      </c>
      <c r="AJ82" s="73">
        <f t="shared" si="205"/>
        <v>-1122</v>
      </c>
      <c r="AK82" s="73">
        <f t="shared" si="205"/>
        <v>-1173.6000000000001</v>
      </c>
      <c r="AL82" s="73">
        <f t="shared" si="205"/>
        <v>-1182.4000000000001</v>
      </c>
      <c r="AM82" s="73">
        <f t="shared" si="205"/>
        <v>-1594.2</v>
      </c>
      <c r="AN82" s="73">
        <f t="shared" si="205"/>
        <v>-1296.4000000000001</v>
      </c>
      <c r="AO82" s="73">
        <f t="shared" si="205"/>
        <v>-1366.4</v>
      </c>
      <c r="AP82" s="73">
        <f t="shared" si="205"/>
        <v>-1465.8000000000002</v>
      </c>
      <c r="AQ82" s="73">
        <f t="shared" si="205"/>
        <v>-1943.8000000000002</v>
      </c>
      <c r="AR82" s="73">
        <f t="shared" si="205"/>
        <v>-1172.2</v>
      </c>
      <c r="AS82" s="73">
        <f t="shared" si="205"/>
        <v>-1226.2</v>
      </c>
      <c r="AT82" s="73">
        <f t="shared" si="205"/>
        <v>-1626.6000000000001</v>
      </c>
      <c r="AU82" s="73">
        <f t="shared" si="205"/>
        <v>-2611</v>
      </c>
      <c r="AV82" s="73">
        <f t="shared" si="205"/>
        <v>-2300.6</v>
      </c>
      <c r="AW82" s="73">
        <f t="shared" si="205"/>
        <v>-2502.6000000000004</v>
      </c>
      <c r="AX82" s="73">
        <f t="shared" si="205"/>
        <v>-2113.8000000000002</v>
      </c>
      <c r="AY82" s="73">
        <f t="shared" si="205"/>
        <v>-2540.4</v>
      </c>
      <c r="AZ82" s="73">
        <f t="shared" si="205"/>
        <v>-1781.6000000000001</v>
      </c>
      <c r="BA82" s="73">
        <f t="shared" si="205"/>
        <v>-1637.2</v>
      </c>
      <c r="BB82" s="73">
        <f t="shared" si="205"/>
        <v>-1197.8</v>
      </c>
      <c r="BC82" s="73">
        <f t="shared" si="205"/>
        <v>-2069.4</v>
      </c>
      <c r="BD82" s="73">
        <f t="shared" si="205"/>
        <v>-1690.2</v>
      </c>
      <c r="BE82" s="73">
        <f t="shared" si="205"/>
        <v>-2388.6</v>
      </c>
      <c r="BF82" s="73">
        <f t="shared" si="205"/>
        <v>-2880</v>
      </c>
      <c r="BG82" s="73">
        <f t="shared" si="205"/>
        <v>-3591.2000000000003</v>
      </c>
      <c r="BH82" s="73">
        <f t="shared" si="205"/>
        <v>-2885.8</v>
      </c>
      <c r="BI82" s="73">
        <f>MIN(-0.2*BI81,0)</f>
        <v>-3301.2000000000003</v>
      </c>
      <c r="BJ82" s="73">
        <f>MIN(-0.2*BJ81,0)</f>
        <v>-3564.4</v>
      </c>
      <c r="BK82" s="73">
        <f t="shared" si="205"/>
        <v>-4059.6958177258816</v>
      </c>
      <c r="BL82" s="73">
        <f t="shared" ref="BL82:BO82" si="206">MIN(-0.2*BL81,0)</f>
        <v>-3164.8013695241011</v>
      </c>
      <c r="BM82" s="73">
        <f t="shared" si="206"/>
        <v>-3646.8430108933107</v>
      </c>
      <c r="BN82" s="73">
        <f t="shared" si="206"/>
        <v>-3765.457780792854</v>
      </c>
      <c r="BO82" s="73">
        <f t="shared" si="206"/>
        <v>-4532.4813350634495</v>
      </c>
      <c r="BQ82" s="73">
        <f t="shared" ref="BQ82:BY82" si="207">MIN(-0.2*BQ81,0)</f>
        <v>0</v>
      </c>
      <c r="BR82" s="73">
        <f t="shared" si="207"/>
        <v>0</v>
      </c>
      <c r="BS82" s="73">
        <f t="shared" si="207"/>
        <v>-50.800000000000004</v>
      </c>
      <c r="BT82" s="73">
        <f t="shared" si="207"/>
        <v>-201.60000000000002</v>
      </c>
      <c r="BU82" s="73">
        <f t="shared" si="207"/>
        <v>-339.20000000000005</v>
      </c>
      <c r="BV82" s="73">
        <f t="shared" si="207"/>
        <v>-98.800000000000011</v>
      </c>
      <c r="BW82" s="73">
        <f t="shared" si="207"/>
        <v>-552</v>
      </c>
      <c r="BX82" s="73">
        <f t="shared" si="207"/>
        <v>-982.2</v>
      </c>
      <c r="BY82" s="73">
        <f t="shared" si="207"/>
        <v>-1238.8000000000002</v>
      </c>
      <c r="BZ82" s="73">
        <f>MIN(-0.2*BZ81,0)</f>
        <v>-2503.4</v>
      </c>
      <c r="CA82" s="65">
        <f>+SUM(AF82:AI82)</f>
        <v>-4118.6000000000004</v>
      </c>
      <c r="CB82" s="65">
        <f>SUM(AJ82:AM82)</f>
        <v>-5072.2000000000007</v>
      </c>
      <c r="CC82" s="65">
        <f>+SUM(AN82:AQ82)</f>
        <v>-6072.4000000000005</v>
      </c>
      <c r="CD82" s="65">
        <f>+SUM(AR82:AU82)</f>
        <v>-6636</v>
      </c>
      <c r="CE82" s="65">
        <f>+SUM(AV82:AY82)</f>
        <v>-9457.4000000000015</v>
      </c>
      <c r="CF82" s="65">
        <f>+SUM(AZ82:BC82)</f>
        <v>-6686</v>
      </c>
      <c r="CG82" s="65">
        <f>+SUM(BD82:BG82)</f>
        <v>-10550</v>
      </c>
      <c r="CH82" s="65">
        <f>+SUM(BH82:BK82)</f>
        <v>-13811.095817725882</v>
      </c>
      <c r="CI82" s="65">
        <f>+SUM(BL82:BO82)</f>
        <v>-15109.583496273717</v>
      </c>
    </row>
    <row r="83" spans="2:89" s="44" customFormat="1" x14ac:dyDescent="0.2">
      <c r="B83" s="110" t="s">
        <v>292</v>
      </c>
      <c r="H83" s="139">
        <f>+SUM(H81:H82)</f>
        <v>318.39999999999998</v>
      </c>
      <c r="I83" s="139">
        <f t="shared" ref="I83:BZ83" si="208">+SUM(I81:I82)</f>
        <v>319.2</v>
      </c>
      <c r="J83" s="139">
        <f t="shared" si="208"/>
        <v>303.2</v>
      </c>
      <c r="K83" s="139">
        <f t="shared" si="208"/>
        <v>416</v>
      </c>
      <c r="L83" s="139">
        <f t="shared" si="208"/>
        <v>305.60000000000002</v>
      </c>
      <c r="M83" s="139">
        <f t="shared" si="208"/>
        <v>-765</v>
      </c>
      <c r="N83" s="139">
        <f t="shared" si="208"/>
        <v>297.60000000000002</v>
      </c>
      <c r="O83" s="139">
        <f t="shared" si="208"/>
        <v>404</v>
      </c>
      <c r="P83" s="139">
        <f t="shared" si="208"/>
        <v>282.39999999999998</v>
      </c>
      <c r="Q83" s="139">
        <f t="shared" si="208"/>
        <v>436</v>
      </c>
      <c r="R83" s="139">
        <f t="shared" si="208"/>
        <v>580.79999999999995</v>
      </c>
      <c r="S83" s="139">
        <f t="shared" si="208"/>
        <v>908.8</v>
      </c>
      <c r="T83" s="139">
        <f t="shared" si="208"/>
        <v>860</v>
      </c>
      <c r="U83" s="139">
        <f t="shared" si="208"/>
        <v>1108.8</v>
      </c>
      <c r="V83" s="139">
        <f t="shared" si="208"/>
        <v>1068.8</v>
      </c>
      <c r="W83" s="139">
        <f t="shared" si="208"/>
        <v>891.2</v>
      </c>
      <c r="X83" s="139">
        <f t="shared" si="208"/>
        <v>745.6</v>
      </c>
      <c r="Y83" s="139">
        <f t="shared" si="208"/>
        <v>1018.4</v>
      </c>
      <c r="Z83" s="139">
        <f t="shared" si="208"/>
        <v>1145.5999999999999</v>
      </c>
      <c r="AA83" s="139">
        <f t="shared" si="208"/>
        <v>2045.6</v>
      </c>
      <c r="AB83" s="139">
        <f t="shared" si="208"/>
        <v>1652.8</v>
      </c>
      <c r="AC83" s="139">
        <f t="shared" si="208"/>
        <v>2203.1999999999998</v>
      </c>
      <c r="AD83" s="139">
        <f t="shared" si="208"/>
        <v>2531.1999999999998</v>
      </c>
      <c r="AE83" s="139">
        <f t="shared" si="208"/>
        <v>3626.4</v>
      </c>
      <c r="AF83" s="139">
        <f t="shared" si="208"/>
        <v>2726.4</v>
      </c>
      <c r="AG83" s="139">
        <f t="shared" si="208"/>
        <v>3590.4</v>
      </c>
      <c r="AH83" s="139">
        <f t="shared" si="208"/>
        <v>4188.8</v>
      </c>
      <c r="AI83" s="139">
        <f t="shared" si="208"/>
        <v>5968.8</v>
      </c>
      <c r="AJ83" s="139">
        <f t="shared" si="208"/>
        <v>4488</v>
      </c>
      <c r="AK83" s="139">
        <f t="shared" si="208"/>
        <v>4694.3999999999996</v>
      </c>
      <c r="AL83" s="139">
        <f t="shared" si="208"/>
        <v>4729.6000000000004</v>
      </c>
      <c r="AM83" s="139">
        <f t="shared" si="208"/>
        <v>6376.8</v>
      </c>
      <c r="AN83" s="139">
        <f t="shared" si="208"/>
        <v>5185.6000000000004</v>
      </c>
      <c r="AO83" s="139">
        <f t="shared" si="208"/>
        <v>5465.6</v>
      </c>
      <c r="AP83" s="139">
        <f t="shared" si="208"/>
        <v>5863.2</v>
      </c>
      <c r="AQ83" s="139">
        <f t="shared" si="208"/>
        <v>7775.2</v>
      </c>
      <c r="AR83" s="139">
        <f t="shared" si="208"/>
        <v>4688.8</v>
      </c>
      <c r="AS83" s="139">
        <f t="shared" si="208"/>
        <v>4904.8</v>
      </c>
      <c r="AT83" s="139">
        <f t="shared" si="208"/>
        <v>6506.4</v>
      </c>
      <c r="AU83" s="139">
        <f t="shared" ref="AU83:BK83" si="209">+SUM(AU81:AU82)</f>
        <v>10444</v>
      </c>
      <c r="AV83" s="139">
        <f t="shared" si="209"/>
        <v>9202.4</v>
      </c>
      <c r="AW83" s="139">
        <f t="shared" si="209"/>
        <v>10010.4</v>
      </c>
      <c r="AX83" s="139">
        <f t="shared" si="209"/>
        <v>8455.2000000000007</v>
      </c>
      <c r="AY83" s="139">
        <f t="shared" si="209"/>
        <v>10161.6</v>
      </c>
      <c r="AZ83" s="139">
        <f t="shared" si="209"/>
        <v>7126.4</v>
      </c>
      <c r="BA83" s="139">
        <f t="shared" si="209"/>
        <v>6548.8</v>
      </c>
      <c r="BB83" s="139">
        <f t="shared" si="209"/>
        <v>4791.2</v>
      </c>
      <c r="BC83" s="139">
        <f t="shared" si="209"/>
        <v>8277.6</v>
      </c>
      <c r="BD83" s="139">
        <f t="shared" si="209"/>
        <v>6760.8</v>
      </c>
      <c r="BE83" s="139">
        <f t="shared" si="209"/>
        <v>9554.4</v>
      </c>
      <c r="BF83" s="139">
        <f t="shared" si="209"/>
        <v>11520</v>
      </c>
      <c r="BG83" s="139">
        <f t="shared" si="209"/>
        <v>14364.8</v>
      </c>
      <c r="BH83" s="139">
        <f t="shared" si="209"/>
        <v>11543.2</v>
      </c>
      <c r="BI83" s="139">
        <f t="shared" si="209"/>
        <v>13204.8</v>
      </c>
      <c r="BJ83" s="139">
        <f t="shared" ref="BJ83" si="210">+SUM(BJ81:BJ82)</f>
        <v>14257.6</v>
      </c>
      <c r="BK83" s="139">
        <f t="shared" si="209"/>
        <v>16238.783270903525</v>
      </c>
      <c r="BL83" s="139">
        <f t="shared" ref="BL83:BO83" si="211">+SUM(BL81:BL82)</f>
        <v>12659.205478096404</v>
      </c>
      <c r="BM83" s="139">
        <f t="shared" si="211"/>
        <v>14587.372043573243</v>
      </c>
      <c r="BN83" s="139">
        <f t="shared" si="211"/>
        <v>15061.831123171414</v>
      </c>
      <c r="BO83" s="139">
        <f t="shared" si="211"/>
        <v>18129.925340253794</v>
      </c>
      <c r="BQ83" s="139">
        <f t="shared" si="208"/>
        <v>-135</v>
      </c>
      <c r="BR83" s="139">
        <f t="shared" si="208"/>
        <v>-56</v>
      </c>
      <c r="BS83" s="139">
        <f t="shared" si="208"/>
        <v>203.2</v>
      </c>
      <c r="BT83" s="139">
        <f t="shared" si="208"/>
        <v>806.4</v>
      </c>
      <c r="BU83" s="139">
        <f t="shared" si="208"/>
        <v>1356.8</v>
      </c>
      <c r="BV83" s="139">
        <f t="shared" si="208"/>
        <v>395.2</v>
      </c>
      <c r="BW83" s="139">
        <f t="shared" si="208"/>
        <v>2208</v>
      </c>
      <c r="BX83" s="139">
        <f t="shared" si="208"/>
        <v>3928.8</v>
      </c>
      <c r="BY83" s="139">
        <f t="shared" si="208"/>
        <v>4955.2</v>
      </c>
      <c r="BZ83" s="139">
        <f t="shared" si="208"/>
        <v>10013.6</v>
      </c>
      <c r="CA83" s="139">
        <f>+SUM(AF83:AI83)</f>
        <v>16474.400000000001</v>
      </c>
      <c r="CB83" s="111">
        <f>SUM(AJ83:AM83)</f>
        <v>20288.8</v>
      </c>
      <c r="CC83" s="111">
        <f>+SUM(AN83:AQ83)</f>
        <v>24289.600000000002</v>
      </c>
      <c r="CD83" s="111">
        <f>+SUM(AR83:AU83)</f>
        <v>26544</v>
      </c>
      <c r="CE83" s="111">
        <f>+SUM(AV83:AY83)</f>
        <v>37829.599999999999</v>
      </c>
      <c r="CF83" s="111">
        <f>+SUM(AZ83:BC83)</f>
        <v>26744</v>
      </c>
      <c r="CG83" s="111">
        <f>+SUM(BD83:BG83)</f>
        <v>42200</v>
      </c>
      <c r="CH83" s="111">
        <f>+SUM(BH83:BK83)</f>
        <v>55244.38327090352</v>
      </c>
      <c r="CI83" s="111">
        <f>+SUM(BL83:BO83)</f>
        <v>60438.333985094861</v>
      </c>
    </row>
    <row r="84" spans="2:89" ht="13.5" x14ac:dyDescent="0.35">
      <c r="B84" s="104" t="s">
        <v>111</v>
      </c>
      <c r="H84" s="73">
        <f>+H512</f>
        <v>2293</v>
      </c>
      <c r="I84" s="73">
        <f t="shared" ref="I84:AT84" si="212">+I512</f>
        <v>2337</v>
      </c>
      <c r="J84" s="73">
        <f t="shared" si="212"/>
        <v>2346</v>
      </c>
      <c r="K84" s="73">
        <f t="shared" si="212"/>
        <v>2350</v>
      </c>
      <c r="L84" s="73">
        <f t="shared" si="212"/>
        <v>2306</v>
      </c>
      <c r="M84" s="73">
        <f t="shared" si="212"/>
        <v>2451</v>
      </c>
      <c r="N84" s="73">
        <f t="shared" si="212"/>
        <v>2579</v>
      </c>
      <c r="O84" s="73">
        <f t="shared" si="212"/>
        <v>2506</v>
      </c>
      <c r="P84" s="73">
        <f t="shared" si="212"/>
        <v>2499</v>
      </c>
      <c r="Q84" s="73">
        <f t="shared" si="212"/>
        <v>2502</v>
      </c>
      <c r="R84" s="73">
        <f t="shared" si="212"/>
        <v>2528</v>
      </c>
      <c r="S84" s="73">
        <f t="shared" si="212"/>
        <v>2558</v>
      </c>
      <c r="T84" s="73">
        <f t="shared" si="212"/>
        <v>2609</v>
      </c>
      <c r="U84" s="73">
        <f t="shared" si="212"/>
        <v>2615</v>
      </c>
      <c r="V84" s="73">
        <f t="shared" si="212"/>
        <v>2644</v>
      </c>
      <c r="W84" s="73">
        <f t="shared" si="212"/>
        <v>2816</v>
      </c>
      <c r="X84" s="73">
        <f t="shared" si="212"/>
        <v>2836</v>
      </c>
      <c r="Y84" s="73">
        <f t="shared" si="212"/>
        <v>2850</v>
      </c>
      <c r="Z84" s="73">
        <f t="shared" si="212"/>
        <v>2863</v>
      </c>
      <c r="AA84" s="73">
        <f t="shared" si="212"/>
        <v>2878</v>
      </c>
      <c r="AB84" s="73">
        <f t="shared" si="212"/>
        <v>2905</v>
      </c>
      <c r="AC84" s="73">
        <f t="shared" si="212"/>
        <v>2921</v>
      </c>
      <c r="AD84" s="73">
        <f t="shared" si="212"/>
        <v>2931</v>
      </c>
      <c r="AE84" s="73">
        <f t="shared" si="212"/>
        <v>2938</v>
      </c>
      <c r="AF84" s="73">
        <f t="shared" si="212"/>
        <v>2944</v>
      </c>
      <c r="AG84" s="73">
        <f t="shared" si="212"/>
        <v>2951</v>
      </c>
      <c r="AH84" s="73">
        <f t="shared" si="212"/>
        <v>2956</v>
      </c>
      <c r="AI84" s="73">
        <f t="shared" si="212"/>
        <v>2954</v>
      </c>
      <c r="AJ84" s="73">
        <f t="shared" si="212"/>
        <v>2945</v>
      </c>
      <c r="AK84" s="73">
        <f t="shared" si="212"/>
        <v>2930</v>
      </c>
      <c r="AL84" s="73">
        <f t="shared" si="212"/>
        <v>2913</v>
      </c>
      <c r="AM84" s="73">
        <f t="shared" si="212"/>
        <v>2886</v>
      </c>
      <c r="AN84" s="73">
        <f t="shared" si="212"/>
        <v>2869</v>
      </c>
      <c r="AO84" s="73">
        <f t="shared" si="212"/>
        <v>2875</v>
      </c>
      <c r="AP84" s="73">
        <f t="shared" si="212"/>
        <v>2874</v>
      </c>
      <c r="AQ84" s="73">
        <f t="shared" si="212"/>
        <v>2871</v>
      </c>
      <c r="AR84" s="73">
        <f t="shared" si="212"/>
        <v>2868</v>
      </c>
      <c r="AS84" s="73">
        <f t="shared" si="212"/>
        <v>2879</v>
      </c>
      <c r="AT84" s="73">
        <f t="shared" si="212"/>
        <v>2891</v>
      </c>
      <c r="AU84" s="73">
        <f t="shared" ref="AU84:AZ84" si="213">+AU512</f>
        <v>2890</v>
      </c>
      <c r="AV84" s="73">
        <f t="shared" si="213"/>
        <v>2882</v>
      </c>
      <c r="AW84" s="73">
        <f t="shared" si="213"/>
        <v>2877</v>
      </c>
      <c r="AX84" s="73">
        <f t="shared" si="213"/>
        <v>2859</v>
      </c>
      <c r="AY84" s="73">
        <f t="shared" si="213"/>
        <v>2799</v>
      </c>
      <c r="AZ84" s="73">
        <f t="shared" si="213"/>
        <v>2742</v>
      </c>
      <c r="BA84" s="73">
        <f t="shared" ref="BA84:BI84" si="214">+BA512</f>
        <v>2713</v>
      </c>
      <c r="BB84" s="73">
        <f t="shared" si="214"/>
        <v>2687</v>
      </c>
      <c r="BC84" s="73">
        <f t="shared" si="214"/>
        <v>2640</v>
      </c>
      <c r="BD84" s="73">
        <f t="shared" si="214"/>
        <v>2596</v>
      </c>
      <c r="BE84" s="73">
        <f t="shared" si="214"/>
        <v>2612</v>
      </c>
      <c r="BF84" s="73">
        <f t="shared" si="214"/>
        <v>2641</v>
      </c>
      <c r="BG84" s="73">
        <f t="shared" si="214"/>
        <v>2630</v>
      </c>
      <c r="BH84" s="73">
        <f t="shared" si="214"/>
        <v>2625</v>
      </c>
      <c r="BI84" s="73">
        <f t="shared" si="214"/>
        <v>2610</v>
      </c>
      <c r="BJ84" s="73">
        <f t="shared" ref="BJ84" si="215">+BJ512</f>
        <v>2600</v>
      </c>
      <c r="BK84" s="71">
        <f>+BJ84</f>
        <v>2600</v>
      </c>
      <c r="BL84" s="71">
        <f t="shared" ref="BL84:BO84" si="216">+BK84</f>
        <v>2600</v>
      </c>
      <c r="BM84" s="71">
        <f t="shared" si="216"/>
        <v>2600</v>
      </c>
      <c r="BN84" s="71">
        <f t="shared" si="216"/>
        <v>2600</v>
      </c>
      <c r="BO84" s="71">
        <f t="shared" si="216"/>
        <v>2600</v>
      </c>
      <c r="BQ84" s="73"/>
      <c r="BR84" s="73"/>
      <c r="BS84" s="73"/>
      <c r="BT84" s="73"/>
      <c r="BU84" s="73">
        <f t="shared" ref="BU84:CG84" si="217">+BU512</f>
        <v>2331.5</v>
      </c>
      <c r="BV84" s="73">
        <f t="shared" si="217"/>
        <v>2460.5</v>
      </c>
      <c r="BW84" s="73">
        <f t="shared" si="217"/>
        <v>2521.75</v>
      </c>
      <c r="BX84" s="73">
        <f t="shared" si="217"/>
        <v>2671</v>
      </c>
      <c r="BY84" s="73">
        <f t="shared" si="217"/>
        <v>2856.75</v>
      </c>
      <c r="BZ84" s="73">
        <f t="shared" si="217"/>
        <v>2923.75</v>
      </c>
      <c r="CA84" s="73">
        <f t="shared" si="217"/>
        <v>2951.25</v>
      </c>
      <c r="CB84" s="73">
        <f t="shared" si="217"/>
        <v>2918.5</v>
      </c>
      <c r="CC84" s="73">
        <f t="shared" si="217"/>
        <v>2876</v>
      </c>
      <c r="CD84" s="73">
        <f t="shared" si="217"/>
        <v>2888</v>
      </c>
      <c r="CE84" s="73">
        <f t="shared" si="217"/>
        <v>2859</v>
      </c>
      <c r="CF84" s="73">
        <f t="shared" si="217"/>
        <v>2702</v>
      </c>
      <c r="CG84" s="73">
        <f t="shared" si="217"/>
        <v>2629</v>
      </c>
      <c r="CH84" s="73">
        <f>+AVERAGE(BH84:BK84)</f>
        <v>2608.75</v>
      </c>
      <c r="CI84" s="73">
        <f>+AVERAGE(BL84:BO84)</f>
        <v>2600</v>
      </c>
    </row>
    <row r="85" spans="2:89" s="44" customFormat="1" x14ac:dyDescent="0.2">
      <c r="B85" s="110" t="s">
        <v>293</v>
      </c>
      <c r="H85" s="114">
        <f>+H83/H84</f>
        <v>0.13885739206279982</v>
      </c>
      <c r="I85" s="114">
        <f t="shared" ref="I85:AT85" si="218">+I83/I84</f>
        <v>0.13658536585365852</v>
      </c>
      <c r="J85" s="114">
        <f t="shared" si="218"/>
        <v>0.12924126172208014</v>
      </c>
      <c r="K85" s="114">
        <f t="shared" si="218"/>
        <v>0.17702127659574468</v>
      </c>
      <c r="L85" s="114">
        <f t="shared" si="218"/>
        <v>0.13252385082393756</v>
      </c>
      <c r="M85" s="114">
        <f t="shared" si="218"/>
        <v>-0.31211750305997554</v>
      </c>
      <c r="N85" s="114">
        <f t="shared" si="218"/>
        <v>0.11539356339666539</v>
      </c>
      <c r="O85" s="114">
        <f t="shared" si="218"/>
        <v>0.16121308858739025</v>
      </c>
      <c r="P85" s="114">
        <f t="shared" si="218"/>
        <v>0.11300520208083233</v>
      </c>
      <c r="Q85" s="114">
        <f t="shared" si="218"/>
        <v>0.17426059152677859</v>
      </c>
      <c r="R85" s="114">
        <f t="shared" si="218"/>
        <v>0.22974683544303795</v>
      </c>
      <c r="S85" s="114">
        <f t="shared" si="218"/>
        <v>0.35527756059421423</v>
      </c>
      <c r="T85" s="114">
        <f t="shared" si="218"/>
        <v>0.32962821004216175</v>
      </c>
      <c r="U85" s="114">
        <f t="shared" si="218"/>
        <v>0.42401529636711277</v>
      </c>
      <c r="V85" s="114">
        <f t="shared" si="218"/>
        <v>0.40423600605143722</v>
      </c>
      <c r="W85" s="114">
        <f t="shared" si="218"/>
        <v>0.31647727272727272</v>
      </c>
      <c r="X85" s="114">
        <f t="shared" si="218"/>
        <v>0.26290550070521862</v>
      </c>
      <c r="Y85" s="114">
        <f t="shared" si="218"/>
        <v>0.35733333333333334</v>
      </c>
      <c r="Z85" s="114">
        <f t="shared" si="218"/>
        <v>0.40013971358714634</v>
      </c>
      <c r="AA85" s="114">
        <f t="shared" si="218"/>
        <v>0.71077136900625426</v>
      </c>
      <c r="AB85" s="114">
        <f t="shared" si="218"/>
        <v>0.56895008605851982</v>
      </c>
      <c r="AC85" s="114">
        <f t="shared" si="218"/>
        <v>0.75426223895926048</v>
      </c>
      <c r="AD85" s="114">
        <f t="shared" si="218"/>
        <v>0.86359604230637999</v>
      </c>
      <c r="AE85" s="114">
        <f t="shared" si="218"/>
        <v>1.2343090537780803</v>
      </c>
      <c r="AF85" s="114">
        <f t="shared" si="218"/>
        <v>0.92608695652173911</v>
      </c>
      <c r="AG85" s="114">
        <f t="shared" si="218"/>
        <v>1.2166723144696714</v>
      </c>
      <c r="AH85" s="114">
        <f t="shared" si="218"/>
        <v>1.4170500676589988</v>
      </c>
      <c r="AI85" s="114">
        <f t="shared" si="218"/>
        <v>2.0205822613405551</v>
      </c>
      <c r="AJ85" s="114">
        <f t="shared" si="218"/>
        <v>1.5239388794567064</v>
      </c>
      <c r="AK85" s="114">
        <f t="shared" si="218"/>
        <v>1.6021843003412968</v>
      </c>
      <c r="AL85" s="114">
        <f t="shared" si="218"/>
        <v>1.6236182629591487</v>
      </c>
      <c r="AM85" s="114">
        <f t="shared" si="218"/>
        <v>2.2095634095634096</v>
      </c>
      <c r="AN85" s="114">
        <f t="shared" si="218"/>
        <v>1.807459044963402</v>
      </c>
      <c r="AO85" s="114">
        <f t="shared" si="218"/>
        <v>1.9010782608695653</v>
      </c>
      <c r="AP85" s="114">
        <f t="shared" si="218"/>
        <v>2.0400835073068895</v>
      </c>
      <c r="AQ85" s="114">
        <f t="shared" si="218"/>
        <v>2.7081853012887493</v>
      </c>
      <c r="AR85" s="114">
        <f t="shared" si="218"/>
        <v>1.6348675034867504</v>
      </c>
      <c r="AS85" s="114">
        <f t="shared" si="218"/>
        <v>1.7036470996873916</v>
      </c>
      <c r="AT85" s="114">
        <f t="shared" si="218"/>
        <v>2.250570736769284</v>
      </c>
      <c r="AU85" s="114">
        <f t="shared" ref="AU85:BK85" si="219">+AU83/AU84</f>
        <v>3.6138408304498268</v>
      </c>
      <c r="AV85" s="114">
        <f t="shared" si="219"/>
        <v>3.1930603747397641</v>
      </c>
      <c r="AW85" s="114">
        <f t="shared" si="219"/>
        <v>3.4794577685088632</v>
      </c>
      <c r="AX85" s="114">
        <f t="shared" si="219"/>
        <v>2.9573976915005251</v>
      </c>
      <c r="AY85" s="114">
        <f t="shared" si="219"/>
        <v>3.6304394426580924</v>
      </c>
      <c r="AZ85" s="114">
        <f t="shared" si="219"/>
        <v>2.5989788475565279</v>
      </c>
      <c r="BA85" s="114">
        <f t="shared" si="219"/>
        <v>2.4138591964614817</v>
      </c>
      <c r="BB85" s="114">
        <f t="shared" si="219"/>
        <v>1.7831038332713063</v>
      </c>
      <c r="BC85" s="114">
        <f t="shared" si="219"/>
        <v>3.1354545454545457</v>
      </c>
      <c r="BD85" s="114">
        <f t="shared" si="219"/>
        <v>2.6043143297380587</v>
      </c>
      <c r="BE85" s="114">
        <f t="shared" si="219"/>
        <v>3.657886676875957</v>
      </c>
      <c r="BF85" s="114">
        <f t="shared" si="219"/>
        <v>4.3619840969329795</v>
      </c>
      <c r="BG85" s="114">
        <f t="shared" si="219"/>
        <v>5.46190114068441</v>
      </c>
      <c r="BH85" s="114">
        <f t="shared" si="219"/>
        <v>4.3974095238095243</v>
      </c>
      <c r="BI85" s="114">
        <f t="shared" si="219"/>
        <v>5.059310344827586</v>
      </c>
      <c r="BJ85" s="114">
        <f t="shared" ref="BJ85" si="220">+BJ83/BJ84</f>
        <v>5.4836923076923076</v>
      </c>
      <c r="BK85" s="114">
        <f t="shared" si="219"/>
        <v>6.2456858734244323</v>
      </c>
      <c r="BL85" s="114">
        <f t="shared" ref="BL85:BO85" si="221">+BL83/BL84</f>
        <v>4.8689251838832321</v>
      </c>
      <c r="BM85" s="114">
        <f t="shared" si="221"/>
        <v>5.6105277090666323</v>
      </c>
      <c r="BN85" s="114">
        <f t="shared" si="221"/>
        <v>5.7930119704505438</v>
      </c>
      <c r="BO85" s="114">
        <f t="shared" si="221"/>
        <v>6.9730482077899207</v>
      </c>
      <c r="BQ85" s="114"/>
      <c r="BR85" s="114"/>
      <c r="BS85" s="114"/>
      <c r="BT85" s="114"/>
      <c r="BU85" s="114">
        <f t="shared" ref="BU85:CD85" si="222">+BU83/BU84</f>
        <v>0.58194295517906924</v>
      </c>
      <c r="BV85" s="114">
        <f t="shared" si="222"/>
        <v>0.16061776061776062</v>
      </c>
      <c r="BW85" s="114">
        <f t="shared" si="222"/>
        <v>0.87558243283434123</v>
      </c>
      <c r="BX85" s="114">
        <f t="shared" si="222"/>
        <v>1.4709097716211157</v>
      </c>
      <c r="BY85" s="114">
        <f t="shared" si="222"/>
        <v>1.7345585017939966</v>
      </c>
      <c r="BZ85" s="114">
        <f t="shared" si="222"/>
        <v>3.4249166310389056</v>
      </c>
      <c r="CA85" s="114">
        <f t="shared" si="222"/>
        <v>5.5821770436255829</v>
      </c>
      <c r="CB85" s="114">
        <f t="shared" si="222"/>
        <v>6.9517903032379644</v>
      </c>
      <c r="CC85" s="114">
        <f t="shared" si="222"/>
        <v>8.4456189151599457</v>
      </c>
      <c r="CD85" s="114">
        <f t="shared" si="222"/>
        <v>9.1911357340720219</v>
      </c>
      <c r="CE85" s="114">
        <f>+CE83/CE84</f>
        <v>13.231759356418328</v>
      </c>
      <c r="CF85" s="114">
        <f>+CF83/CF84</f>
        <v>9.8978534418948918</v>
      </c>
      <c r="CG85" s="114">
        <f>+CG83/CG84</f>
        <v>16.05173069608216</v>
      </c>
      <c r="CH85" s="114">
        <f>+CH83/CH84</f>
        <v>21.176572408587838</v>
      </c>
      <c r="CI85" s="114">
        <f>+CI83/CI84</f>
        <v>23.245513071190331</v>
      </c>
    </row>
    <row r="86" spans="2:89" x14ac:dyDescent="0.2">
      <c r="B86" s="60" t="s">
        <v>17</v>
      </c>
      <c r="H86" s="106"/>
      <c r="I86" s="106"/>
      <c r="J86" s="106"/>
      <c r="K86" s="106"/>
      <c r="L86" s="106">
        <f t="shared" ref="L86:BJ86" si="223">+L85/H85-1</f>
        <v>-4.5611840642937107E-2</v>
      </c>
      <c r="M86" s="106">
        <f t="shared" si="223"/>
        <v>-3.2851460045462497</v>
      </c>
      <c r="N86" s="106">
        <f t="shared" si="223"/>
        <v>-0.10714610907461419</v>
      </c>
      <c r="O86" s="106">
        <f t="shared" si="223"/>
        <v>-8.9301062066425296E-2</v>
      </c>
      <c r="P86" s="106">
        <f t="shared" si="223"/>
        <v>-0.14728404450785559</v>
      </c>
      <c r="Q86" s="106">
        <f t="shared" si="223"/>
        <v>-1.5583172677544239</v>
      </c>
      <c r="R86" s="106">
        <f t="shared" si="223"/>
        <v>0.99098484075132665</v>
      </c>
      <c r="S86" s="106">
        <f t="shared" si="223"/>
        <v>1.2037761555670814</v>
      </c>
      <c r="T86" s="106">
        <f t="shared" si="223"/>
        <v>1.916929521584144</v>
      </c>
      <c r="U86" s="106">
        <f t="shared" si="223"/>
        <v>1.4332253933727435</v>
      </c>
      <c r="V86" s="106">
        <f t="shared" si="223"/>
        <v>0.75948454424592526</v>
      </c>
      <c r="W86" s="106">
        <f t="shared" si="223"/>
        <v>-0.10921119758322662</v>
      </c>
      <c r="X86" s="106">
        <f t="shared" si="223"/>
        <v>-0.20241807983730775</v>
      </c>
      <c r="Y86" s="106">
        <f t="shared" si="223"/>
        <v>-0.15726310726310722</v>
      </c>
      <c r="Z86" s="106">
        <f t="shared" si="223"/>
        <v>-1.0133418109641745E-2</v>
      </c>
      <c r="AA86" s="106">
        <f t="shared" si="223"/>
        <v>1.2458843975781106</v>
      </c>
      <c r="AB86" s="106">
        <f t="shared" si="223"/>
        <v>1.1640858960058504</v>
      </c>
      <c r="AC86" s="106">
        <f t="shared" si="223"/>
        <v>1.1108085045501692</v>
      </c>
      <c r="AD86" s="106">
        <f t="shared" si="223"/>
        <v>1.1582362684385177</v>
      </c>
      <c r="AE86" s="106">
        <f t="shared" si="223"/>
        <v>0.73657677785164033</v>
      </c>
      <c r="AF86" s="106">
        <f t="shared" si="223"/>
        <v>0.62771213014015736</v>
      </c>
      <c r="AG86" s="106">
        <f t="shared" si="223"/>
        <v>0.61306274081604495</v>
      </c>
      <c r="AH86" s="106">
        <f t="shared" si="223"/>
        <v>0.64087142395248331</v>
      </c>
      <c r="AI86" s="106">
        <f t="shared" si="223"/>
        <v>0.63701485876311237</v>
      </c>
      <c r="AJ86" s="106">
        <f t="shared" si="223"/>
        <v>0.64556780410818071</v>
      </c>
      <c r="AK86" s="106">
        <f t="shared" si="223"/>
        <v>0.31685769560694244</v>
      </c>
      <c r="AL86" s="106">
        <f t="shared" si="223"/>
        <v>0.14577339221429608</v>
      </c>
      <c r="AM86" s="106">
        <f t="shared" si="223"/>
        <v>9.352806457752183E-2</v>
      </c>
      <c r="AN86" s="106">
        <f t="shared" si="223"/>
        <v>0.18604431537816812</v>
      </c>
      <c r="AO86" s="106">
        <f t="shared" si="223"/>
        <v>0.18655404404137421</v>
      </c>
      <c r="AP86" s="106">
        <f t="shared" si="223"/>
        <v>0.25650440984120615</v>
      </c>
      <c r="AQ86" s="106">
        <f t="shared" si="223"/>
        <v>0.22566534617979728</v>
      </c>
      <c r="AR86" s="106">
        <f t="shared" si="223"/>
        <v>-9.5488493616266878E-2</v>
      </c>
      <c r="AS86" s="106">
        <f t="shared" si="223"/>
        <v>-0.10385220074625834</v>
      </c>
      <c r="AT86" s="106">
        <f t="shared" si="223"/>
        <v>0.10317579094605711</v>
      </c>
      <c r="AU86" s="106">
        <f t="shared" si="223"/>
        <v>0.33441416609494978</v>
      </c>
      <c r="AV86" s="106">
        <f t="shared" si="223"/>
        <v>0.95310039983655592</v>
      </c>
      <c r="AW86" s="106">
        <f t="shared" si="223"/>
        <v>1.0423582848509656</v>
      </c>
      <c r="AX86" s="106">
        <f t="shared" si="223"/>
        <v>0.31406564707488283</v>
      </c>
      <c r="AY86" s="106">
        <f t="shared" si="223"/>
        <v>4.5930667638727218E-3</v>
      </c>
      <c r="AZ86" s="106">
        <f t="shared" si="223"/>
        <v>-0.18605395998240537</v>
      </c>
      <c r="BA86" s="106">
        <f t="shared" si="223"/>
        <v>-0.3062542048050344</v>
      </c>
      <c r="BB86" s="106">
        <f t="shared" si="223"/>
        <v>-0.39706998541457761</v>
      </c>
      <c r="BC86" s="106">
        <f t="shared" si="223"/>
        <v>-0.13634297032679177</v>
      </c>
      <c r="BD86" s="106">
        <f t="shared" si="223"/>
        <v>2.0529148155812305E-3</v>
      </c>
      <c r="BE86" s="106">
        <f t="shared" si="223"/>
        <v>0.51536870180253969</v>
      </c>
      <c r="BF86" s="106">
        <f t="shared" si="223"/>
        <v>1.4462872074759803</v>
      </c>
      <c r="BG86" s="106">
        <f t="shared" si="223"/>
        <v>0.74198064794225882</v>
      </c>
      <c r="BH86" s="106">
        <f t="shared" si="223"/>
        <v>0.68850951423049422</v>
      </c>
      <c r="BI86" s="106">
        <f t="shared" si="223"/>
        <v>0.38312386132982246</v>
      </c>
      <c r="BJ86" s="106">
        <f t="shared" si="223"/>
        <v>0.2571555021367522</v>
      </c>
      <c r="BK86" s="106">
        <f>+BK85/BG85-1</f>
        <v>0.1435003513523514</v>
      </c>
      <c r="BL86" s="106">
        <f t="shared" ref="BL86:BO86" si="224">+BL85/BH85-1</f>
        <v>0.10722577861368454</v>
      </c>
      <c r="BM86" s="106">
        <f t="shared" si="224"/>
        <v>0.10895108753361749</v>
      </c>
      <c r="BN86" s="106">
        <f t="shared" si="224"/>
        <v>5.640718796791977E-2</v>
      </c>
      <c r="BO86" s="106">
        <f t="shared" si="224"/>
        <v>0.11645836007546184</v>
      </c>
      <c r="BP86" s="106"/>
      <c r="BQ86" s="106"/>
      <c r="BR86" s="106"/>
      <c r="BS86" s="106"/>
      <c r="BT86" s="106"/>
      <c r="BU86" s="106"/>
      <c r="BV86" s="106">
        <f t="shared" ref="BV86:CI86" si="225">+BV85/BU85-1</f>
        <v>-0.72399741385590444</v>
      </c>
      <c r="BW86" s="106">
        <f t="shared" si="225"/>
        <v>4.4513425505791915</v>
      </c>
      <c r="BX86" s="106">
        <f t="shared" si="225"/>
        <v>0.67992152019273022</v>
      </c>
      <c r="BY86" s="106">
        <f t="shared" si="225"/>
        <v>0.17924194621557854</v>
      </c>
      <c r="BZ86" s="106">
        <f t="shared" si="225"/>
        <v>0.9745177966016294</v>
      </c>
      <c r="CA86" s="106">
        <f t="shared" si="225"/>
        <v>0.62987238668413936</v>
      </c>
      <c r="CB86" s="106">
        <f t="shared" si="225"/>
        <v>0.24535467952890788</v>
      </c>
      <c r="CC86" s="106">
        <f t="shared" si="225"/>
        <v>0.21488401501785726</v>
      </c>
      <c r="CD86" s="106">
        <f t="shared" si="225"/>
        <v>8.8272609313909234E-2</v>
      </c>
      <c r="CE86" s="106">
        <f t="shared" si="225"/>
        <v>0.43962179857354333</v>
      </c>
      <c r="CF86" s="106">
        <f t="shared" si="225"/>
        <v>-0.25196240535513204</v>
      </c>
      <c r="CG86" s="106">
        <f t="shared" si="225"/>
        <v>0.62173857092484286</v>
      </c>
      <c r="CH86" s="106">
        <f t="shared" si="225"/>
        <v>0.31927035218429922</v>
      </c>
      <c r="CI86" s="106">
        <f t="shared" si="225"/>
        <v>9.7699505976872159E-2</v>
      </c>
    </row>
    <row r="87" spans="2:89" x14ac:dyDescent="0.2">
      <c r="H87" s="49"/>
      <c r="I87" s="49"/>
      <c r="J87" s="49"/>
      <c r="K87" s="49"/>
      <c r="L87" s="49"/>
      <c r="AB87" s="49"/>
      <c r="AC87" s="49"/>
      <c r="AD87" s="49"/>
      <c r="BU87" s="49"/>
    </row>
    <row r="88" spans="2:89" x14ac:dyDescent="0.2">
      <c r="B88" s="54" t="s">
        <v>112</v>
      </c>
      <c r="H88" s="49"/>
      <c r="I88" s="49"/>
      <c r="J88" s="49"/>
      <c r="K88" s="49"/>
      <c r="L88" s="49"/>
      <c r="AB88" s="49"/>
      <c r="AC88" s="49"/>
      <c r="AD88" s="49"/>
      <c r="BU88" s="49"/>
    </row>
    <row r="89" spans="2:89" x14ac:dyDescent="0.2">
      <c r="B89" t="s">
        <v>291</v>
      </c>
      <c r="H89" s="74">
        <f t="shared" ref="H89:AM89" si="226">+H70</f>
        <v>439</v>
      </c>
      <c r="I89" s="74">
        <f t="shared" si="226"/>
        <v>479</v>
      </c>
      <c r="J89" s="74">
        <f t="shared" si="226"/>
        <v>511</v>
      </c>
      <c r="K89" s="74">
        <f t="shared" si="226"/>
        <v>651</v>
      </c>
      <c r="L89" s="74">
        <f t="shared" si="226"/>
        <v>491</v>
      </c>
      <c r="M89" s="74">
        <f t="shared" si="226"/>
        <v>-604</v>
      </c>
      <c r="N89" s="74">
        <f t="shared" si="226"/>
        <v>553</v>
      </c>
      <c r="O89" s="74">
        <f t="shared" si="226"/>
        <v>747</v>
      </c>
      <c r="P89" s="74">
        <f t="shared" si="226"/>
        <v>606</v>
      </c>
      <c r="Q89" s="74">
        <f t="shared" si="226"/>
        <v>792</v>
      </c>
      <c r="R89" s="74">
        <f t="shared" si="226"/>
        <v>1010</v>
      </c>
      <c r="S89" s="74">
        <f t="shared" si="226"/>
        <v>1407</v>
      </c>
      <c r="T89" s="74">
        <f t="shared" si="226"/>
        <v>1339</v>
      </c>
      <c r="U89" s="74">
        <f t="shared" si="226"/>
        <v>1647</v>
      </c>
      <c r="V89" s="74">
        <f t="shared" si="226"/>
        <v>1686</v>
      </c>
      <c r="W89" s="74">
        <f t="shared" si="226"/>
        <v>1566</v>
      </c>
      <c r="X89" s="74">
        <f t="shared" si="226"/>
        <v>1390</v>
      </c>
      <c r="Y89" s="74">
        <f t="shared" si="226"/>
        <v>1732</v>
      </c>
      <c r="Z89" s="74">
        <f t="shared" si="226"/>
        <v>1945</v>
      </c>
      <c r="AA89" s="74">
        <f t="shared" si="226"/>
        <v>3103</v>
      </c>
      <c r="AB89" s="74">
        <f t="shared" si="226"/>
        <v>2562</v>
      </c>
      <c r="AC89" s="74">
        <f t="shared" si="226"/>
        <v>3319</v>
      </c>
      <c r="AD89" s="74">
        <f t="shared" si="226"/>
        <v>3708</v>
      </c>
      <c r="AE89" s="74">
        <f t="shared" si="226"/>
        <v>5180</v>
      </c>
      <c r="AF89" s="74">
        <f t="shared" si="226"/>
        <v>3998</v>
      </c>
      <c r="AG89" s="74">
        <f t="shared" si="226"/>
        <v>5130</v>
      </c>
      <c r="AH89" s="74">
        <f t="shared" si="226"/>
        <v>5894</v>
      </c>
      <c r="AI89" s="74">
        <f t="shared" si="226"/>
        <v>8205</v>
      </c>
      <c r="AJ89" s="74">
        <f t="shared" si="226"/>
        <v>6398</v>
      </c>
      <c r="AK89" s="74">
        <f t="shared" si="226"/>
        <v>6897</v>
      </c>
      <c r="AL89" s="74">
        <f t="shared" si="226"/>
        <v>6888</v>
      </c>
      <c r="AM89" s="74">
        <f t="shared" si="226"/>
        <v>9045</v>
      </c>
      <c r="AN89" s="74">
        <f t="shared" ref="AN89:BK89" si="227">+AN70</f>
        <v>7672</v>
      </c>
      <c r="AO89" s="74">
        <f t="shared" si="227"/>
        <v>8128</v>
      </c>
      <c r="AP89" s="74">
        <f t="shared" si="227"/>
        <v>8601</v>
      </c>
      <c r="AQ89" s="74">
        <f t="shared" si="227"/>
        <v>10876</v>
      </c>
      <c r="AR89" s="74">
        <f t="shared" si="227"/>
        <v>7490</v>
      </c>
      <c r="AS89" s="74">
        <f t="shared" si="227"/>
        <v>7667</v>
      </c>
      <c r="AT89" s="74">
        <f t="shared" si="227"/>
        <v>9738</v>
      </c>
      <c r="AU89" s="74">
        <f t="shared" si="227"/>
        <v>14638</v>
      </c>
      <c r="AV89" s="74">
        <f t="shared" si="227"/>
        <v>13350</v>
      </c>
      <c r="AW89" s="74">
        <f t="shared" si="227"/>
        <v>14352</v>
      </c>
      <c r="AX89" s="74">
        <f t="shared" si="227"/>
        <v>12418</v>
      </c>
      <c r="AY89" s="74">
        <f t="shared" si="227"/>
        <v>14599</v>
      </c>
      <c r="AZ89" s="74">
        <f t="shared" si="227"/>
        <v>10680</v>
      </c>
      <c r="BA89" s="74">
        <f t="shared" si="227"/>
        <v>10337</v>
      </c>
      <c r="BB89" s="74">
        <f t="shared" si="227"/>
        <v>8252</v>
      </c>
      <c r="BC89" s="74">
        <f t="shared" si="227"/>
        <v>12973</v>
      </c>
      <c r="BD89" s="74">
        <f t="shared" si="227"/>
        <v>10895</v>
      </c>
      <c r="BE89" s="74">
        <f t="shared" si="227"/>
        <v>14665</v>
      </c>
      <c r="BF89" s="74">
        <f t="shared" si="227"/>
        <v>16986</v>
      </c>
      <c r="BG89" s="74">
        <f t="shared" si="227"/>
        <v>20704</v>
      </c>
      <c r="BH89" s="74">
        <f t="shared" si="227"/>
        <v>17438</v>
      </c>
      <c r="BI89" s="74">
        <f>+BI70</f>
        <v>19884</v>
      </c>
      <c r="BJ89" s="74">
        <f>+BJ70</f>
        <v>21377</v>
      </c>
      <c r="BK89" s="74">
        <f t="shared" si="227"/>
        <v>24696.26889231988</v>
      </c>
      <c r="BL89" s="74">
        <f t="shared" ref="BL89:BO89" si="228">+BL70</f>
        <v>20471.796651310979</v>
      </c>
      <c r="BM89" s="74">
        <f t="shared" si="228"/>
        <v>23132.00485815703</v>
      </c>
      <c r="BN89" s="74">
        <f t="shared" si="228"/>
        <v>23975.078707654742</v>
      </c>
      <c r="BO89" s="74">
        <f t="shared" si="228"/>
        <v>27365.629397512326</v>
      </c>
      <c r="BS89" s="74">
        <f t="shared" ref="BS89:CA89" si="229">+BS70</f>
        <v>340</v>
      </c>
      <c r="BT89" s="74">
        <f t="shared" si="229"/>
        <v>1171</v>
      </c>
      <c r="BU89" s="74">
        <f t="shared" si="229"/>
        <v>2080</v>
      </c>
      <c r="BV89" s="74">
        <f t="shared" si="229"/>
        <v>1187</v>
      </c>
      <c r="BW89" s="74">
        <f t="shared" si="229"/>
        <v>3815</v>
      </c>
      <c r="BX89" s="74">
        <f t="shared" si="229"/>
        <v>6238</v>
      </c>
      <c r="BY89" s="74">
        <f t="shared" si="229"/>
        <v>8170</v>
      </c>
      <c r="BZ89" s="74">
        <f t="shared" si="229"/>
        <v>14769</v>
      </c>
      <c r="CA89" s="74">
        <f t="shared" si="229"/>
        <v>23227</v>
      </c>
      <c r="CB89" s="74">
        <f>SUM(AJ89:AM89)</f>
        <v>29228</v>
      </c>
      <c r="CC89" s="74">
        <f>+SUM(AN89:AQ89)</f>
        <v>35277</v>
      </c>
      <c r="CD89" s="74">
        <f>+SUM(AR89:AU89)</f>
        <v>39533</v>
      </c>
      <c r="CE89" s="74">
        <f>+SUM(AV89:AY89)</f>
        <v>54719</v>
      </c>
      <c r="CF89" s="74">
        <f>+SUM(AZ89:BC89)</f>
        <v>42242</v>
      </c>
      <c r="CG89" s="74">
        <f>+SUM(BD89:BG89)</f>
        <v>63250</v>
      </c>
      <c r="CH89" s="74">
        <f>+SUM(BH89:BK89)</f>
        <v>83395.268892319873</v>
      </c>
      <c r="CI89" s="74">
        <f>+SUM(BL89:BO89)</f>
        <v>94944.509614635084</v>
      </c>
    </row>
    <row r="90" spans="2:89" ht="13.5" x14ac:dyDescent="0.35">
      <c r="B90" t="s">
        <v>29</v>
      </c>
      <c r="H90" s="78">
        <f>+H541</f>
        <v>-153</v>
      </c>
      <c r="I90" s="78">
        <f t="shared" ref="I90:AM90" si="230">+I541</f>
        <v>-132</v>
      </c>
      <c r="J90" s="78">
        <f t="shared" si="230"/>
        <v>-136</v>
      </c>
      <c r="K90" s="78">
        <f t="shared" si="230"/>
        <v>-185</v>
      </c>
      <c r="L90" s="78">
        <f t="shared" si="230"/>
        <v>-453</v>
      </c>
      <c r="M90" s="78">
        <f t="shared" si="230"/>
        <v>-413</v>
      </c>
      <c r="N90" s="78">
        <f t="shared" si="230"/>
        <v>-171</v>
      </c>
      <c r="O90" s="78">
        <f t="shared" si="230"/>
        <v>-198</v>
      </c>
      <c r="P90" s="78">
        <f t="shared" si="230"/>
        <v>-327</v>
      </c>
      <c r="Q90" s="78">
        <f t="shared" si="230"/>
        <v>-268</v>
      </c>
      <c r="R90" s="78">
        <f t="shared" si="230"/>
        <v>-284</v>
      </c>
      <c r="S90" s="78">
        <f t="shared" si="230"/>
        <v>-483</v>
      </c>
      <c r="T90" s="78">
        <f t="shared" si="230"/>
        <v>-363</v>
      </c>
      <c r="U90" s="78">
        <f t="shared" si="230"/>
        <v>-469</v>
      </c>
      <c r="V90" s="78">
        <f t="shared" si="230"/>
        <v>-482</v>
      </c>
      <c r="W90" s="78">
        <f t="shared" si="230"/>
        <v>-517</v>
      </c>
      <c r="X90" s="78">
        <f t="shared" si="230"/>
        <v>-502</v>
      </c>
      <c r="Y90" s="78">
        <f t="shared" si="230"/>
        <v>-549</v>
      </c>
      <c r="Z90" s="78">
        <f t="shared" si="230"/>
        <v>-780</v>
      </c>
      <c r="AA90" s="78">
        <f t="shared" si="230"/>
        <v>-692</v>
      </c>
      <c r="AB90" s="78">
        <f t="shared" si="230"/>
        <v>-1132</v>
      </c>
      <c r="AC90" s="78">
        <f t="shared" si="230"/>
        <v>-995</v>
      </c>
      <c r="AD90" s="78">
        <f t="shared" si="230"/>
        <v>-1095</v>
      </c>
      <c r="AE90" s="78">
        <f t="shared" si="230"/>
        <v>-1269</v>
      </c>
      <c r="AF90" s="78">
        <f t="shared" si="230"/>
        <v>-1271</v>
      </c>
      <c r="AG90" s="78">
        <f t="shared" si="230"/>
        <v>-1444</v>
      </c>
      <c r="AH90" s="78">
        <f t="shared" si="230"/>
        <v>-1755</v>
      </c>
      <c r="AI90" s="78">
        <f t="shared" si="230"/>
        <v>-2263</v>
      </c>
      <c r="AJ90" s="78">
        <f t="shared" si="230"/>
        <v>-2812</v>
      </c>
      <c r="AK90" s="78">
        <f t="shared" si="230"/>
        <v>-3459</v>
      </c>
      <c r="AL90" s="78">
        <f t="shared" si="230"/>
        <v>-3342</v>
      </c>
      <c r="AM90" s="78">
        <f t="shared" si="230"/>
        <v>-4301</v>
      </c>
      <c r="AN90" s="78">
        <f>+AN541+AN553</f>
        <v>-3962</v>
      </c>
      <c r="AO90" s="78">
        <f t="shared" ref="AO90:AT90" si="231">+AO541+AO553</f>
        <v>-3775</v>
      </c>
      <c r="AP90" s="78">
        <f t="shared" si="231"/>
        <v>-3676</v>
      </c>
      <c r="AQ90" s="78">
        <f t="shared" si="231"/>
        <v>-4241</v>
      </c>
      <c r="AR90" s="78">
        <f t="shared" si="231"/>
        <v>-3658</v>
      </c>
      <c r="AS90" s="78">
        <f t="shared" si="231"/>
        <v>-3364</v>
      </c>
      <c r="AT90" s="78">
        <f t="shared" si="231"/>
        <v>-3878</v>
      </c>
      <c r="AU90" s="78">
        <f t="shared" ref="AU90:AZ90" si="232">+AU541+AU553</f>
        <v>-4818</v>
      </c>
      <c r="AV90" s="78">
        <f t="shared" si="232"/>
        <v>-4423</v>
      </c>
      <c r="AW90" s="78">
        <f t="shared" si="232"/>
        <v>-4735</v>
      </c>
      <c r="AX90" s="78">
        <f t="shared" si="232"/>
        <v>-4544</v>
      </c>
      <c r="AY90" s="78">
        <f t="shared" si="232"/>
        <v>-5542</v>
      </c>
      <c r="AZ90" s="78">
        <f t="shared" si="232"/>
        <v>-5548</v>
      </c>
      <c r="BA90" s="78">
        <f t="shared" ref="BA90:BI90" si="233">+BA541+BA553</f>
        <v>-7747</v>
      </c>
      <c r="BB90" s="78">
        <f t="shared" si="233"/>
        <v>-9518</v>
      </c>
      <c r="BC90" s="78">
        <f t="shared" si="233"/>
        <v>-9223</v>
      </c>
      <c r="BD90" s="78">
        <f t="shared" si="233"/>
        <v>-7087</v>
      </c>
      <c r="BE90" s="78">
        <f t="shared" si="233"/>
        <v>-6354</v>
      </c>
      <c r="BF90" s="78">
        <f t="shared" si="233"/>
        <v>-6763</v>
      </c>
      <c r="BG90" s="78">
        <f t="shared" si="233"/>
        <v>-7899</v>
      </c>
      <c r="BH90" s="78">
        <f t="shared" si="233"/>
        <v>-6715</v>
      </c>
      <c r="BI90" s="78">
        <f t="shared" si="233"/>
        <v>-8472</v>
      </c>
      <c r="BJ90" s="78">
        <f t="shared" ref="BJ90" si="234">+BJ541+BJ553</f>
        <v>-9202</v>
      </c>
      <c r="BK90" s="78">
        <f>-BK9*BK95</f>
        <v>-13585.480794708994</v>
      </c>
      <c r="BL90" s="78">
        <f t="shared" ref="BL90:BO90" si="235">-BL9*BL95</f>
        <v>-10322.798278528322</v>
      </c>
      <c r="BM90" s="78">
        <f t="shared" si="235"/>
        <v>-11050.457486526464</v>
      </c>
      <c r="BN90" s="78">
        <f t="shared" si="235"/>
        <v>-11409.402822383261</v>
      </c>
      <c r="BO90" s="78">
        <f t="shared" si="235"/>
        <v>-13232.287707731359</v>
      </c>
      <c r="BS90" s="78">
        <f>+BS541</f>
        <v>-33</v>
      </c>
      <c r="BT90" s="78">
        <f>+BT541</f>
        <v>-293</v>
      </c>
      <c r="BU90" s="65">
        <f>+SUM(H90:K90)</f>
        <v>-606</v>
      </c>
      <c r="BV90" s="65">
        <f>+SUM(L90:O90)</f>
        <v>-1235</v>
      </c>
      <c r="BW90" s="65">
        <f>+SUM(P90:S90)</f>
        <v>-1362</v>
      </c>
      <c r="BX90" s="65">
        <f>+SUM(T90:W90)</f>
        <v>-1831</v>
      </c>
      <c r="BY90" s="65">
        <f>+SUM(X90:AA90)</f>
        <v>-2523</v>
      </c>
      <c r="BZ90" s="65">
        <f>+SUM(AB90:AE90)</f>
        <v>-4491</v>
      </c>
      <c r="CA90" s="65">
        <f>+SUM(AF90:AI90)</f>
        <v>-6733</v>
      </c>
      <c r="CB90" s="65">
        <f>SUM(AJ90:AM90)</f>
        <v>-13914</v>
      </c>
      <c r="CC90" s="65">
        <f>+SUM(AN90:AQ90)</f>
        <v>-15654</v>
      </c>
      <c r="CD90" s="65">
        <f>+SUM(AR90:AU90)</f>
        <v>-15718</v>
      </c>
      <c r="CE90" s="65">
        <f>+SUM(AV90:AY90)</f>
        <v>-19244</v>
      </c>
      <c r="CF90" s="65">
        <f>+SUM(AZ90:BC90)</f>
        <v>-32036</v>
      </c>
      <c r="CG90" s="65">
        <f>+SUM(BD90:BG90)</f>
        <v>-28103</v>
      </c>
      <c r="CH90" s="65">
        <f>+SUM(BH90:BK90)</f>
        <v>-37974.480794708994</v>
      </c>
      <c r="CI90" s="65">
        <f>+SUM(BL90:BO90)</f>
        <v>-46014.946295169408</v>
      </c>
      <c r="CJ90" s="64"/>
      <c r="CK90" s="55"/>
    </row>
    <row r="91" spans="2:89" s="44" customFormat="1" x14ac:dyDescent="0.2">
      <c r="B91" s="110" t="s">
        <v>294</v>
      </c>
      <c r="H91" s="143">
        <f>SUM(H89:H90)</f>
        <v>286</v>
      </c>
      <c r="I91" s="143">
        <f t="shared" ref="I91:AW91" si="236">SUM(I89:I90)</f>
        <v>347</v>
      </c>
      <c r="J91" s="143">
        <f t="shared" si="236"/>
        <v>375</v>
      </c>
      <c r="K91" s="143">
        <f t="shared" si="236"/>
        <v>466</v>
      </c>
      <c r="L91" s="143">
        <f t="shared" si="236"/>
        <v>38</v>
      </c>
      <c r="M91" s="143">
        <f t="shared" si="236"/>
        <v>-1017</v>
      </c>
      <c r="N91" s="143">
        <f t="shared" si="236"/>
        <v>382</v>
      </c>
      <c r="O91" s="143">
        <f t="shared" si="236"/>
        <v>549</v>
      </c>
      <c r="P91" s="143">
        <f t="shared" si="236"/>
        <v>279</v>
      </c>
      <c r="Q91" s="143">
        <f t="shared" si="236"/>
        <v>524</v>
      </c>
      <c r="R91" s="143">
        <f t="shared" si="236"/>
        <v>726</v>
      </c>
      <c r="S91" s="143">
        <f t="shared" si="236"/>
        <v>924</v>
      </c>
      <c r="T91" s="143">
        <f t="shared" si="236"/>
        <v>976</v>
      </c>
      <c r="U91" s="143">
        <f t="shared" si="236"/>
        <v>1178</v>
      </c>
      <c r="V91" s="143">
        <f t="shared" si="236"/>
        <v>1204</v>
      </c>
      <c r="W91" s="143">
        <f t="shared" si="236"/>
        <v>1049</v>
      </c>
      <c r="X91" s="143">
        <f t="shared" si="236"/>
        <v>888</v>
      </c>
      <c r="Y91" s="143">
        <f t="shared" si="236"/>
        <v>1183</v>
      </c>
      <c r="Z91" s="143">
        <f t="shared" si="236"/>
        <v>1165</v>
      </c>
      <c r="AA91" s="143">
        <f t="shared" si="236"/>
        <v>2411</v>
      </c>
      <c r="AB91" s="143">
        <f t="shared" si="236"/>
        <v>1430</v>
      </c>
      <c r="AC91" s="143">
        <f t="shared" si="236"/>
        <v>2324</v>
      </c>
      <c r="AD91" s="143">
        <f t="shared" si="236"/>
        <v>2613</v>
      </c>
      <c r="AE91" s="143">
        <f t="shared" si="236"/>
        <v>3911</v>
      </c>
      <c r="AF91" s="143">
        <f t="shared" si="236"/>
        <v>2727</v>
      </c>
      <c r="AG91" s="143">
        <f t="shared" si="236"/>
        <v>3686</v>
      </c>
      <c r="AH91" s="143">
        <f t="shared" si="236"/>
        <v>4139</v>
      </c>
      <c r="AI91" s="143">
        <f t="shared" si="236"/>
        <v>5942</v>
      </c>
      <c r="AJ91" s="143">
        <f t="shared" si="236"/>
        <v>3586</v>
      </c>
      <c r="AK91" s="143">
        <f t="shared" si="236"/>
        <v>3438</v>
      </c>
      <c r="AL91" s="143">
        <f t="shared" si="236"/>
        <v>3546</v>
      </c>
      <c r="AM91" s="143">
        <f t="shared" si="236"/>
        <v>4744</v>
      </c>
      <c r="AN91" s="143">
        <f t="shared" si="236"/>
        <v>3710</v>
      </c>
      <c r="AO91" s="143">
        <f t="shared" si="236"/>
        <v>4353</v>
      </c>
      <c r="AP91" s="143">
        <f t="shared" si="236"/>
        <v>4925</v>
      </c>
      <c r="AQ91" s="143">
        <f t="shared" si="236"/>
        <v>6635</v>
      </c>
      <c r="AR91" s="143">
        <f t="shared" si="236"/>
        <v>3832</v>
      </c>
      <c r="AS91" s="143">
        <f t="shared" si="236"/>
        <v>4303</v>
      </c>
      <c r="AT91" s="143">
        <f t="shared" si="236"/>
        <v>5860</v>
      </c>
      <c r="AU91" s="143">
        <f t="shared" si="236"/>
        <v>9820</v>
      </c>
      <c r="AV91" s="143">
        <f t="shared" si="236"/>
        <v>8927</v>
      </c>
      <c r="AW91" s="143">
        <f t="shared" si="236"/>
        <v>9617</v>
      </c>
      <c r="AX91" s="143">
        <f t="shared" ref="AX91:BK91" si="237">SUM(AX89:AX90)</f>
        <v>7874</v>
      </c>
      <c r="AY91" s="143">
        <f t="shared" si="237"/>
        <v>9057</v>
      </c>
      <c r="AZ91" s="143">
        <f t="shared" si="237"/>
        <v>5132</v>
      </c>
      <c r="BA91" s="143">
        <f t="shared" si="237"/>
        <v>2590</v>
      </c>
      <c r="BB91" s="143">
        <f t="shared" si="237"/>
        <v>-1266</v>
      </c>
      <c r="BC91" s="143">
        <f t="shared" si="237"/>
        <v>3750</v>
      </c>
      <c r="BD91" s="143">
        <f t="shared" si="237"/>
        <v>3808</v>
      </c>
      <c r="BE91" s="143">
        <f t="shared" si="237"/>
        <v>8311</v>
      </c>
      <c r="BF91" s="143">
        <f t="shared" si="237"/>
        <v>10223</v>
      </c>
      <c r="BG91" s="143">
        <f t="shared" si="237"/>
        <v>12805</v>
      </c>
      <c r="BH91" s="143">
        <f t="shared" si="237"/>
        <v>10723</v>
      </c>
      <c r="BI91" s="143">
        <f t="shared" si="237"/>
        <v>11412</v>
      </c>
      <c r="BJ91" s="143">
        <f t="shared" ref="BJ91" si="238">SUM(BJ89:BJ90)</f>
        <v>12175</v>
      </c>
      <c r="BK91" s="143">
        <f t="shared" si="237"/>
        <v>11110.788097610886</v>
      </c>
      <c r="BL91" s="143">
        <f t="shared" ref="BL91:BO91" si="239">SUM(BL89:BL90)</f>
        <v>10148.998372782657</v>
      </c>
      <c r="BM91" s="143">
        <f t="shared" si="239"/>
        <v>12081.547371630566</v>
      </c>
      <c r="BN91" s="143">
        <f t="shared" si="239"/>
        <v>12565.675885271481</v>
      </c>
      <c r="BO91" s="143">
        <f t="shared" si="239"/>
        <v>14133.341689780967</v>
      </c>
      <c r="BS91" s="143">
        <f t="shared" ref="BS91:CA91" si="240">SUM(BS89:BS90)</f>
        <v>307</v>
      </c>
      <c r="BT91" s="143">
        <f t="shared" si="240"/>
        <v>878</v>
      </c>
      <c r="BU91" s="143">
        <f t="shared" si="240"/>
        <v>1474</v>
      </c>
      <c r="BV91" s="143">
        <f t="shared" si="240"/>
        <v>-48</v>
      </c>
      <c r="BW91" s="143">
        <f t="shared" si="240"/>
        <v>2453</v>
      </c>
      <c r="BX91" s="143">
        <f t="shared" si="240"/>
        <v>4407</v>
      </c>
      <c r="BY91" s="143">
        <f t="shared" si="240"/>
        <v>5647</v>
      </c>
      <c r="BZ91" s="143">
        <f t="shared" si="240"/>
        <v>10278</v>
      </c>
      <c r="CA91" s="143">
        <f t="shared" si="240"/>
        <v>16494</v>
      </c>
      <c r="CB91" s="143">
        <f>SUM(AJ91:AM91)</f>
        <v>15314</v>
      </c>
      <c r="CC91" s="143">
        <f>+SUM(AN91:AQ91)</f>
        <v>19623</v>
      </c>
      <c r="CD91" s="143">
        <f>+SUM(AR91:AU91)</f>
        <v>23815</v>
      </c>
      <c r="CE91" s="139">
        <f>+SUM(AV91:AY91)</f>
        <v>35475</v>
      </c>
      <c r="CF91" s="139">
        <f>+SUM(AZ91:BC91)</f>
        <v>10206</v>
      </c>
      <c r="CG91" s="139">
        <f>+SUM(BD91:BG91)</f>
        <v>35147</v>
      </c>
      <c r="CH91" s="139">
        <f>+SUM(BH91:BK91)</f>
        <v>45420.788097610886</v>
      </c>
      <c r="CI91" s="139">
        <f>+SUM(BL91:BO91)</f>
        <v>48929.563319465669</v>
      </c>
      <c r="CJ91" s="126"/>
    </row>
    <row r="92" spans="2:89" s="44" customFormat="1" x14ac:dyDescent="0.2">
      <c r="B92" s="101" t="s">
        <v>17</v>
      </c>
      <c r="C92"/>
      <c r="D92"/>
      <c r="E92"/>
      <c r="F92"/>
      <c r="G92"/>
      <c r="H92" s="106"/>
      <c r="I92" s="106"/>
      <c r="J92" s="106"/>
      <c r="K92" s="106"/>
      <c r="L92" s="106">
        <f t="shared" ref="L92:BJ92" si="241">+L91/H91-1</f>
        <v>-0.86713286713286708</v>
      </c>
      <c r="M92" s="106">
        <f t="shared" si="241"/>
        <v>-3.9308357348703171</v>
      </c>
      <c r="N92" s="106">
        <f t="shared" si="241"/>
        <v>1.8666666666666609E-2</v>
      </c>
      <c r="O92" s="106">
        <f t="shared" si="241"/>
        <v>0.17811158798283255</v>
      </c>
      <c r="P92" s="106">
        <f t="shared" si="241"/>
        <v>6.3421052631578947</v>
      </c>
      <c r="Q92" s="106">
        <f t="shared" si="241"/>
        <v>-1.5152409046214355</v>
      </c>
      <c r="R92" s="106">
        <f t="shared" si="241"/>
        <v>0.90052356020942415</v>
      </c>
      <c r="S92" s="106">
        <f t="shared" si="241"/>
        <v>0.68306010928961758</v>
      </c>
      <c r="T92" s="106">
        <f t="shared" si="241"/>
        <v>2.4982078853046596</v>
      </c>
      <c r="U92" s="106">
        <f t="shared" si="241"/>
        <v>1.2480916030534353</v>
      </c>
      <c r="V92" s="106">
        <f t="shared" si="241"/>
        <v>0.65840220385674941</v>
      </c>
      <c r="W92" s="106">
        <f t="shared" si="241"/>
        <v>0.13528138528138522</v>
      </c>
      <c r="X92" s="106">
        <f t="shared" si="241"/>
        <v>-9.0163934426229497E-2</v>
      </c>
      <c r="Y92" s="106">
        <f t="shared" si="241"/>
        <v>4.2444821731748572E-3</v>
      </c>
      <c r="Z92" s="106">
        <f t="shared" si="241"/>
        <v>-3.2392026578073052E-2</v>
      </c>
      <c r="AA92" s="106">
        <f t="shared" si="241"/>
        <v>1.2983794089609151</v>
      </c>
      <c r="AB92" s="106">
        <f t="shared" si="241"/>
        <v>0.61036036036036045</v>
      </c>
      <c r="AC92" s="106">
        <f t="shared" si="241"/>
        <v>0.96449704142011838</v>
      </c>
      <c r="AD92" s="106">
        <f t="shared" si="241"/>
        <v>1.2429184549356225</v>
      </c>
      <c r="AE92" s="106">
        <f t="shared" si="241"/>
        <v>0.62214848610535056</v>
      </c>
      <c r="AF92" s="106">
        <f t="shared" si="241"/>
        <v>0.906993006993007</v>
      </c>
      <c r="AG92" s="106">
        <f t="shared" si="241"/>
        <v>0.58605851979345958</v>
      </c>
      <c r="AH92" s="106">
        <f t="shared" si="241"/>
        <v>0.58400306161500182</v>
      </c>
      <c r="AI92" s="106">
        <f t="shared" si="241"/>
        <v>0.51930452569675278</v>
      </c>
      <c r="AJ92" s="106">
        <f t="shared" si="241"/>
        <v>0.31499816648331502</v>
      </c>
      <c r="AK92" s="106">
        <f t="shared" si="241"/>
        <v>-6.728160607704825E-2</v>
      </c>
      <c r="AL92" s="106">
        <f t="shared" si="241"/>
        <v>-0.14327132157525968</v>
      </c>
      <c r="AM92" s="106">
        <f t="shared" si="241"/>
        <v>-0.20161561763715918</v>
      </c>
      <c r="AN92" s="106">
        <f t="shared" si="241"/>
        <v>3.4578918014500859E-2</v>
      </c>
      <c r="AO92" s="106">
        <f t="shared" si="241"/>
        <v>0.2661431064572426</v>
      </c>
      <c r="AP92" s="106">
        <f t="shared" si="241"/>
        <v>0.38888888888888884</v>
      </c>
      <c r="AQ92" s="106">
        <f t="shared" si="241"/>
        <v>0.39860876897133224</v>
      </c>
      <c r="AR92" s="106">
        <f t="shared" si="241"/>
        <v>3.2884097035040361E-2</v>
      </c>
      <c r="AS92" s="106">
        <f t="shared" si="241"/>
        <v>-1.1486331265793681E-2</v>
      </c>
      <c r="AT92" s="106">
        <f t="shared" si="241"/>
        <v>0.18984771573604053</v>
      </c>
      <c r="AU92" s="106">
        <f t="shared" si="241"/>
        <v>0.48003014318010551</v>
      </c>
      <c r="AV92" s="106">
        <f t="shared" si="241"/>
        <v>1.3295929018789145</v>
      </c>
      <c r="AW92" s="106">
        <f t="shared" si="241"/>
        <v>1.2349523588194282</v>
      </c>
      <c r="AX92" s="106">
        <f t="shared" si="241"/>
        <v>0.34368600682593864</v>
      </c>
      <c r="AY92" s="106">
        <f t="shared" si="241"/>
        <v>-7.769857433808558E-2</v>
      </c>
      <c r="AZ92" s="106">
        <f t="shared" si="241"/>
        <v>-0.42511482020835667</v>
      </c>
      <c r="BA92" s="106">
        <f t="shared" si="241"/>
        <v>-0.73068524487886033</v>
      </c>
      <c r="BB92" s="106">
        <f t="shared" si="241"/>
        <v>-1.1607823215646431</v>
      </c>
      <c r="BC92" s="106">
        <f t="shared" si="241"/>
        <v>-0.58595561444186817</v>
      </c>
      <c r="BD92" s="106">
        <f t="shared" si="241"/>
        <v>-0.25798908807482468</v>
      </c>
      <c r="BE92" s="106">
        <f t="shared" si="241"/>
        <v>2.2088803088803091</v>
      </c>
      <c r="BF92" s="106">
        <f t="shared" si="241"/>
        <v>-9.075039494470774</v>
      </c>
      <c r="BG92" s="106">
        <f t="shared" si="241"/>
        <v>2.4146666666666667</v>
      </c>
      <c r="BH92" s="106">
        <f t="shared" si="241"/>
        <v>1.8159138655462184</v>
      </c>
      <c r="BI92" s="106">
        <f t="shared" si="241"/>
        <v>0.37311996149681148</v>
      </c>
      <c r="BJ92" s="106">
        <f t="shared" si="241"/>
        <v>0.19094199354396957</v>
      </c>
      <c r="BK92" s="106">
        <f>+BK91/BG91-1</f>
        <v>-0.13230862181875158</v>
      </c>
      <c r="BL92" s="106">
        <f t="shared" ref="BL92:BO92" si="242">+BL91/BH91-1</f>
        <v>-5.3529947516305465E-2</v>
      </c>
      <c r="BM92" s="106">
        <f t="shared" si="242"/>
        <v>5.867046719510749E-2</v>
      </c>
      <c r="BN92" s="106">
        <f t="shared" si="242"/>
        <v>3.2088368400121636E-2</v>
      </c>
      <c r="BO92" s="106">
        <f t="shared" si="242"/>
        <v>0.27203773176270096</v>
      </c>
      <c r="BP92" s="106"/>
      <c r="BQ92" s="106"/>
      <c r="BR92" s="106"/>
      <c r="BS92" s="106"/>
      <c r="BT92" s="106">
        <f t="shared" ref="BT92:CI92" si="243">+BT91/BS91-1</f>
        <v>1.8599348534201954</v>
      </c>
      <c r="BU92" s="106">
        <f t="shared" si="243"/>
        <v>0.67881548974943051</v>
      </c>
      <c r="BV92" s="106">
        <f t="shared" si="243"/>
        <v>-1.0325644504748983</v>
      </c>
      <c r="BW92" s="106">
        <f t="shared" si="243"/>
        <v>-52.104166666666664</v>
      </c>
      <c r="BX92" s="106">
        <f t="shared" si="243"/>
        <v>0.79657562168772933</v>
      </c>
      <c r="BY92" s="106">
        <f t="shared" si="243"/>
        <v>0.28137054685727247</v>
      </c>
      <c r="BZ92" s="106">
        <f t="shared" si="243"/>
        <v>0.82008145918186637</v>
      </c>
      <c r="CA92" s="106">
        <f t="shared" si="243"/>
        <v>0.60478692352597774</v>
      </c>
      <c r="CB92" s="106">
        <f t="shared" si="243"/>
        <v>-7.154116648478237E-2</v>
      </c>
      <c r="CC92" s="106">
        <f t="shared" si="243"/>
        <v>0.28137651821862342</v>
      </c>
      <c r="CD92" s="106">
        <f t="shared" si="243"/>
        <v>0.21362686643224782</v>
      </c>
      <c r="CE92" s="106">
        <f t="shared" si="243"/>
        <v>0.48960739030023093</v>
      </c>
      <c r="CF92" s="106">
        <f t="shared" si="243"/>
        <v>-0.7123044397463002</v>
      </c>
      <c r="CG92" s="106">
        <f t="shared" si="243"/>
        <v>2.443758573388203</v>
      </c>
      <c r="CH92" s="106">
        <f t="shared" si="243"/>
        <v>0.29230910454977344</v>
      </c>
      <c r="CI92" s="106">
        <f t="shared" si="243"/>
        <v>7.7250425825159619E-2</v>
      </c>
    </row>
    <row r="93" spans="2:89" s="44" customFormat="1" x14ac:dyDescent="0.2">
      <c r="B93" s="101" t="s">
        <v>21</v>
      </c>
      <c r="C93"/>
      <c r="D93" s="107"/>
      <c r="E93" s="107"/>
      <c r="F93" s="107"/>
      <c r="G93" s="107"/>
      <c r="H93" s="107">
        <f t="shared" ref="H93:AM93" si="244">+H91/H9</f>
        <v>0.39124487004103969</v>
      </c>
      <c r="I93" s="107">
        <f t="shared" si="244"/>
        <v>0.38770949720670389</v>
      </c>
      <c r="J93" s="107">
        <f t="shared" si="244"/>
        <v>0.39308176100628933</v>
      </c>
      <c r="K93" s="107">
        <f t="shared" si="244"/>
        <v>0.41202475685234308</v>
      </c>
      <c r="L93" s="107">
        <f t="shared" si="244"/>
        <v>3.5916824196597356E-2</v>
      </c>
      <c r="M93" s="107">
        <f t="shared" si="244"/>
        <v>-0.85895270270270274</v>
      </c>
      <c r="N93" s="107">
        <f t="shared" si="244"/>
        <v>0.30269413629160064</v>
      </c>
      <c r="O93" s="107">
        <f t="shared" si="244"/>
        <v>0.34637223974763409</v>
      </c>
      <c r="P93" s="107">
        <f t="shared" si="244"/>
        <v>0.19135802469135801</v>
      </c>
      <c r="Q93" s="107">
        <f t="shared" si="244"/>
        <v>0.28902371759514617</v>
      </c>
      <c r="R93" s="107">
        <f t="shared" si="244"/>
        <v>0.36011904761904762</v>
      </c>
      <c r="S93" s="107">
        <f t="shared" si="244"/>
        <v>0.35744680851063831</v>
      </c>
      <c r="T93" s="107">
        <f t="shared" si="244"/>
        <v>0.39008792965627498</v>
      </c>
      <c r="U93" s="107">
        <f t="shared" si="244"/>
        <v>0.40481099656357389</v>
      </c>
      <c r="V93" s="107">
        <f t="shared" si="244"/>
        <v>0.3758975960037465</v>
      </c>
      <c r="W93" s="107">
        <f t="shared" si="244"/>
        <v>0.27239678005712803</v>
      </c>
      <c r="X93" s="107">
        <f t="shared" si="244"/>
        <v>0.25063505503810329</v>
      </c>
      <c r="Y93" s="107">
        <f t="shared" si="244"/>
        <v>0.2926768926274122</v>
      </c>
      <c r="Z93" s="107">
        <f t="shared" si="244"/>
        <v>0.25883137080648744</v>
      </c>
      <c r="AA93" s="107">
        <f t="shared" si="244"/>
        <v>0.4127717856531416</v>
      </c>
      <c r="AB93" s="107">
        <f t="shared" si="244"/>
        <v>0.26570048309178745</v>
      </c>
      <c r="AC93" s="107">
        <f t="shared" si="244"/>
        <v>0.36109384711000619</v>
      </c>
      <c r="AD93" s="107">
        <f t="shared" si="244"/>
        <v>0.3727000427899016</v>
      </c>
      <c r="AE93" s="107">
        <f t="shared" si="244"/>
        <v>0.44397775002838008</v>
      </c>
      <c r="AF93" s="107">
        <f t="shared" si="244"/>
        <v>0.33951693227091634</v>
      </c>
      <c r="AG93" s="107">
        <f t="shared" si="244"/>
        <v>0.3954511318528055</v>
      </c>
      <c r="AH93" s="107">
        <f t="shared" si="244"/>
        <v>0.40075522850503487</v>
      </c>
      <c r="AI93" s="107">
        <f t="shared" si="244"/>
        <v>0.458063521430774</v>
      </c>
      <c r="AJ93" s="107">
        <f t="shared" si="244"/>
        <v>0.29968243356175833</v>
      </c>
      <c r="AK93" s="107">
        <f t="shared" si="244"/>
        <v>0.25984430504119116</v>
      </c>
      <c r="AL93" s="107">
        <f t="shared" si="244"/>
        <v>0.25832301303999416</v>
      </c>
      <c r="AM93" s="107">
        <f t="shared" si="244"/>
        <v>0.2804777107721414</v>
      </c>
      <c r="AN93" s="107">
        <f t="shared" ref="AN93:BK93" si="245">+AN91/AN9</f>
        <v>0.24607017311136167</v>
      </c>
      <c r="AO93" s="107">
        <f t="shared" si="245"/>
        <v>0.25778751628568042</v>
      </c>
      <c r="AP93" s="107">
        <f t="shared" si="245"/>
        <v>0.27900521187400862</v>
      </c>
      <c r="AQ93" s="107">
        <f t="shared" si="245"/>
        <v>0.31472346077222274</v>
      </c>
      <c r="AR93" s="107">
        <f t="shared" si="245"/>
        <v>0.21604555449061286</v>
      </c>
      <c r="AS93" s="107">
        <f t="shared" si="245"/>
        <v>0.23026703055600151</v>
      </c>
      <c r="AT93" s="107">
        <f t="shared" si="245"/>
        <v>0.27293898462971589</v>
      </c>
      <c r="AU93" s="107">
        <f t="shared" si="245"/>
        <v>0.34981476204046735</v>
      </c>
      <c r="AV93" s="107">
        <f t="shared" si="245"/>
        <v>0.34110274731573115</v>
      </c>
      <c r="AW93" s="107">
        <f t="shared" si="245"/>
        <v>0.3307425112631977</v>
      </c>
      <c r="AX93" s="107">
        <f t="shared" si="245"/>
        <v>0.27142364701826954</v>
      </c>
      <c r="AY93" s="107">
        <f t="shared" si="245"/>
        <v>0.2689851801253304</v>
      </c>
      <c r="AZ93" s="107">
        <f t="shared" si="245"/>
        <v>0.18388992403611867</v>
      </c>
      <c r="BA93" s="107">
        <f t="shared" si="245"/>
        <v>8.9861911040177642E-2</v>
      </c>
      <c r="BB93" s="107">
        <f t="shared" si="245"/>
        <v>-4.5680883308075342E-2</v>
      </c>
      <c r="BC93" s="107">
        <f t="shared" si="245"/>
        <v>0.11658635162443649</v>
      </c>
      <c r="BD93" s="107">
        <f t="shared" si="245"/>
        <v>0.13293768545994064</v>
      </c>
      <c r="BE93" s="107">
        <f t="shared" si="245"/>
        <v>0.25972686646457704</v>
      </c>
      <c r="BF93" s="107">
        <f t="shared" si="245"/>
        <v>0.29939085105136765</v>
      </c>
      <c r="BG93" s="107">
        <f t="shared" si="245"/>
        <v>0.31923911146568273</v>
      </c>
      <c r="BH93" s="107">
        <f t="shared" si="245"/>
        <v>0.29414346454532986</v>
      </c>
      <c r="BI93" s="107">
        <f>+BI91/BI9</f>
        <v>0.29208364259937036</v>
      </c>
      <c r="BJ93" s="107">
        <f>+BJ91/BJ9</f>
        <v>0.29995811673113404</v>
      </c>
      <c r="BK93" s="107">
        <f t="shared" si="245"/>
        <v>0.23717442150167026</v>
      </c>
      <c r="BL93" s="107">
        <f t="shared" ref="BL93:BO93" si="246">+BL91/BL9</f>
        <v>0.24579087227474034</v>
      </c>
      <c r="BM93" s="107">
        <f t="shared" si="246"/>
        <v>0.27332685968796505</v>
      </c>
      <c r="BN93" s="107">
        <f t="shared" si="246"/>
        <v>0.27533596808020078</v>
      </c>
      <c r="BO93" s="107">
        <f t="shared" si="246"/>
        <v>0.26702377551697165</v>
      </c>
      <c r="BP93" s="107"/>
      <c r="BQ93" s="107"/>
      <c r="BR93" s="107"/>
      <c r="BS93" s="107">
        <f t="shared" ref="BS93:CH93" si="247">+BS91/BS9</f>
        <v>0.39510939510939513</v>
      </c>
      <c r="BT93" s="107">
        <f t="shared" si="247"/>
        <v>0.44478216818642352</v>
      </c>
      <c r="BU93" s="107">
        <f t="shared" si="247"/>
        <v>0.39719752088385879</v>
      </c>
      <c r="BV93" s="107">
        <f t="shared" si="247"/>
        <v>-9.432108469247396E-3</v>
      </c>
      <c r="BW93" s="107">
        <f t="shared" si="247"/>
        <v>0.31161077235772355</v>
      </c>
      <c r="BX93" s="107">
        <f t="shared" si="247"/>
        <v>0.35352157869404782</v>
      </c>
      <c r="BY93" s="107">
        <f t="shared" si="247"/>
        <v>0.31499972109109164</v>
      </c>
      <c r="BZ93" s="107">
        <f t="shared" si="247"/>
        <v>0.37187929662059482</v>
      </c>
      <c r="CA93" s="107">
        <f t="shared" si="247"/>
        <v>0.40572651464836545</v>
      </c>
      <c r="CB93" s="107">
        <f t="shared" si="247"/>
        <v>0.27425767398545792</v>
      </c>
      <c r="CC93" s="107">
        <f t="shared" si="247"/>
        <v>0.27756481887491691</v>
      </c>
      <c r="CD93" s="107">
        <f t="shared" si="247"/>
        <v>0.27702812739920435</v>
      </c>
      <c r="CE93" s="107">
        <f t="shared" si="247"/>
        <v>0.30081659303479213</v>
      </c>
      <c r="CF93" s="107">
        <f t="shared" si="247"/>
        <v>8.7523261497826063E-2</v>
      </c>
      <c r="CG93" s="107">
        <f t="shared" si="247"/>
        <v>0.26053921023565429</v>
      </c>
      <c r="CH93" s="107">
        <f t="shared" si="247"/>
        <v>0.27872099937313455</v>
      </c>
      <c r="CI93" s="107">
        <f t="shared" ref="CI93" si="248">+CI91/CI9</f>
        <v>0.26583516476146707</v>
      </c>
    </row>
    <row r="94" spans="2:89" x14ac:dyDescent="0.2">
      <c r="B94" s="75"/>
      <c r="H94" s="49"/>
      <c r="I94" s="49"/>
      <c r="J94" s="49"/>
      <c r="K94" s="49"/>
      <c r="L94" s="49"/>
      <c r="AB94" s="49"/>
      <c r="AC94" s="49"/>
      <c r="AD94" s="49"/>
      <c r="BU94" s="49"/>
    </row>
    <row r="95" spans="2:89" s="76" customFormat="1" x14ac:dyDescent="0.2">
      <c r="B95" s="60" t="s">
        <v>295</v>
      </c>
      <c r="H95" s="57">
        <f t="shared" ref="H95:AM95" si="249">-H90/H9</f>
        <v>0.20930232558139536</v>
      </c>
      <c r="I95" s="57">
        <f t="shared" si="249"/>
        <v>0.14748603351955308</v>
      </c>
      <c r="J95" s="57">
        <f t="shared" si="249"/>
        <v>0.14255765199161424</v>
      </c>
      <c r="K95" s="57">
        <f t="shared" si="249"/>
        <v>0.16357206012378425</v>
      </c>
      <c r="L95" s="57">
        <f t="shared" si="249"/>
        <v>0.42816635160680527</v>
      </c>
      <c r="M95" s="57">
        <f t="shared" si="249"/>
        <v>0.34881756756756754</v>
      </c>
      <c r="N95" s="57">
        <f t="shared" si="249"/>
        <v>0.13549920760697307</v>
      </c>
      <c r="O95" s="57">
        <f t="shared" si="249"/>
        <v>0.12492113564668769</v>
      </c>
      <c r="P95" s="57">
        <f t="shared" si="249"/>
        <v>0.22427983539094651</v>
      </c>
      <c r="Q95" s="57">
        <f t="shared" si="249"/>
        <v>0.14782129067843353</v>
      </c>
      <c r="R95" s="57">
        <f t="shared" si="249"/>
        <v>0.14087301587301587</v>
      </c>
      <c r="S95" s="57">
        <f t="shared" si="249"/>
        <v>0.18684719535783365</v>
      </c>
      <c r="T95" s="57">
        <f t="shared" si="249"/>
        <v>0.14508393285371701</v>
      </c>
      <c r="U95" s="57">
        <f t="shared" si="249"/>
        <v>0.1611683848797251</v>
      </c>
      <c r="V95" s="57">
        <f t="shared" si="249"/>
        <v>0.15048392132375898</v>
      </c>
      <c r="W95" s="57">
        <f t="shared" si="249"/>
        <v>0.13425084393663983</v>
      </c>
      <c r="X95" s="57">
        <f t="shared" si="249"/>
        <v>0.14168783516793679</v>
      </c>
      <c r="Y95" s="57">
        <f t="shared" si="249"/>
        <v>0.13582384957941612</v>
      </c>
      <c r="Z95" s="57">
        <f t="shared" si="249"/>
        <v>0.17329482337258387</v>
      </c>
      <c r="AA95" s="57">
        <f t="shared" si="249"/>
        <v>0.1184728642355761</v>
      </c>
      <c r="AB95" s="57">
        <f t="shared" si="249"/>
        <v>0.2103307320698625</v>
      </c>
      <c r="AC95" s="57">
        <f t="shared" si="249"/>
        <v>0.15459912989434432</v>
      </c>
      <c r="AD95" s="57">
        <f t="shared" si="249"/>
        <v>0.15618314077877621</v>
      </c>
      <c r="AE95" s="57">
        <f t="shared" si="249"/>
        <v>0.14405721421273698</v>
      </c>
      <c r="AF95" s="57">
        <f t="shared" si="249"/>
        <v>0.15824203187250996</v>
      </c>
      <c r="AG95" s="57">
        <f t="shared" si="249"/>
        <v>0.15491900010728463</v>
      </c>
      <c r="AH95" s="57">
        <f t="shared" si="249"/>
        <v>0.16992641363284275</v>
      </c>
      <c r="AI95" s="57">
        <f t="shared" si="249"/>
        <v>0.17445266728337958</v>
      </c>
      <c r="AJ95" s="57">
        <f t="shared" si="249"/>
        <v>0.23499916429884674</v>
      </c>
      <c r="AK95" s="57">
        <f t="shared" si="249"/>
        <v>0.2614314866601164</v>
      </c>
      <c r="AL95" s="57">
        <f t="shared" si="249"/>
        <v>0.24346179063160195</v>
      </c>
      <c r="AM95" s="57">
        <f t="shared" si="249"/>
        <v>0.25428638997280362</v>
      </c>
      <c r="AN95" s="57">
        <f t="shared" ref="AN95:BH95" si="250">-AN90/AN9</f>
        <v>0.26278437354911455</v>
      </c>
      <c r="AO95" s="57">
        <f t="shared" si="250"/>
        <v>0.22355797702238542</v>
      </c>
      <c r="AP95" s="57">
        <f t="shared" si="250"/>
        <v>0.2082483571266712</v>
      </c>
      <c r="AQ95" s="57">
        <f t="shared" si="250"/>
        <v>0.20116687221326249</v>
      </c>
      <c r="AR95" s="57">
        <f t="shared" si="250"/>
        <v>0.20623555279923325</v>
      </c>
      <c r="AS95" s="57">
        <f t="shared" si="250"/>
        <v>0.18001819446674158</v>
      </c>
      <c r="AT95" s="57">
        <f t="shared" si="250"/>
        <v>0.18062412668840241</v>
      </c>
      <c r="AU95" s="57">
        <f t="shared" si="250"/>
        <v>0.17163009404388715</v>
      </c>
      <c r="AV95" s="57">
        <f t="shared" si="250"/>
        <v>0.16900385923350272</v>
      </c>
      <c r="AW95" s="57">
        <f t="shared" si="250"/>
        <v>0.16284348454104619</v>
      </c>
      <c r="AX95" s="57">
        <f t="shared" si="250"/>
        <v>0.1566356428817649</v>
      </c>
      <c r="AY95" s="57">
        <f t="shared" si="250"/>
        <v>0.16459267619019335</v>
      </c>
      <c r="AZ95" s="57">
        <f t="shared" si="250"/>
        <v>0.19879604414504801</v>
      </c>
      <c r="BA95" s="57">
        <f t="shared" si="250"/>
        <v>0.26878773159392133</v>
      </c>
      <c r="BB95" s="57">
        <f t="shared" si="250"/>
        <v>0.34343653027350796</v>
      </c>
      <c r="BC95" s="57">
        <f t="shared" si="250"/>
        <v>0.28674024560858075</v>
      </c>
      <c r="BD95" s="57">
        <f t="shared" si="250"/>
        <v>0.24740792459417002</v>
      </c>
      <c r="BE95" s="57">
        <f t="shared" si="250"/>
        <v>0.19856870527203976</v>
      </c>
      <c r="BF95" s="57">
        <f t="shared" si="250"/>
        <v>0.19806126632694898</v>
      </c>
      <c r="BG95" s="57">
        <f t="shared" si="250"/>
        <v>0.1969285233477101</v>
      </c>
      <c r="BH95" s="57">
        <f t="shared" si="250"/>
        <v>0.18419969825812646</v>
      </c>
      <c r="BI95" s="57">
        <f>-BI90/BI9</f>
        <v>0.21683601648281334</v>
      </c>
      <c r="BJ95" s="57">
        <f>-BJ90/BJ9</f>
        <v>0.22671167064968342</v>
      </c>
      <c r="BK95" s="61">
        <v>0.28999999999999998</v>
      </c>
      <c r="BL95" s="61">
        <v>0.25</v>
      </c>
      <c r="BM95" s="61">
        <v>0.25</v>
      </c>
      <c r="BN95" s="61">
        <v>0.25</v>
      </c>
      <c r="BO95" s="61">
        <v>0.25</v>
      </c>
      <c r="BS95" s="57">
        <f t="shared" ref="BS95:CH95" si="251">-BS90/BS9</f>
        <v>4.2471042471042469E-2</v>
      </c>
      <c r="BT95" s="57">
        <f t="shared" si="251"/>
        <v>0.14842958459979735</v>
      </c>
      <c r="BU95" s="57">
        <f t="shared" si="251"/>
        <v>0.16329830234438156</v>
      </c>
      <c r="BV95" s="57">
        <f t="shared" si="251"/>
        <v>0.24268029082334447</v>
      </c>
      <c r="BW95" s="57">
        <f t="shared" si="251"/>
        <v>0.17301829268292682</v>
      </c>
      <c r="BX95" s="57">
        <f t="shared" si="251"/>
        <v>0.14687951227338361</v>
      </c>
      <c r="BY95" s="57">
        <f t="shared" si="251"/>
        <v>0.14073743515367881</v>
      </c>
      <c r="BZ95" s="57">
        <f t="shared" si="251"/>
        <v>0.16249366813807078</v>
      </c>
      <c r="CA95" s="57">
        <f t="shared" si="251"/>
        <v>0.16562123336531129</v>
      </c>
      <c r="CB95" s="57">
        <f t="shared" si="251"/>
        <v>0.24918514273433862</v>
      </c>
      <c r="CC95" s="57">
        <f t="shared" si="251"/>
        <v>0.22142382279304637</v>
      </c>
      <c r="CD95" s="57">
        <f t="shared" si="251"/>
        <v>0.18283972733406231</v>
      </c>
      <c r="CE95" s="57">
        <f t="shared" si="251"/>
        <v>0.16318293210321463</v>
      </c>
      <c r="CF95" s="57">
        <f t="shared" si="251"/>
        <v>0.27473008086854361</v>
      </c>
      <c r="CG95" s="57">
        <f t="shared" si="251"/>
        <v>0.20832314067353097</v>
      </c>
      <c r="CH95" s="57">
        <f t="shared" si="251"/>
        <v>0.23302733574395912</v>
      </c>
      <c r="CI95" s="57">
        <f t="shared" ref="CI95" si="252">-CI90/CI9</f>
        <v>0.25</v>
      </c>
    </row>
    <row r="96" spans="2:89" s="44" customFormat="1" x14ac:dyDescent="0.2">
      <c r="B96" s="101"/>
      <c r="C96"/>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c r="AL96" s="107"/>
      <c r="AM96" s="107"/>
      <c r="AN96" s="107"/>
      <c r="AO96" s="107"/>
      <c r="AP96" s="107"/>
      <c r="AQ96" s="107"/>
      <c r="AR96" s="107"/>
      <c r="AS96" s="107"/>
      <c r="AT96" s="107"/>
      <c r="AU96" s="107"/>
      <c r="AV96" s="107"/>
      <c r="AW96" s="107"/>
      <c r="AX96" s="107"/>
      <c r="AY96" s="107"/>
      <c r="AZ96" s="107"/>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7"/>
      <c r="CB96" s="107"/>
      <c r="CC96" s="107"/>
      <c r="CD96" s="107"/>
      <c r="CE96" s="107"/>
      <c r="CF96" s="107"/>
      <c r="CG96" s="107"/>
      <c r="CH96" s="107"/>
      <c r="CI96" s="107"/>
    </row>
    <row r="97" spans="2:90" x14ac:dyDescent="0.2">
      <c r="B97" t="s">
        <v>522</v>
      </c>
      <c r="H97" s="74">
        <f t="shared" ref="H97:AW97" si="253">+H80</f>
        <v>10</v>
      </c>
      <c r="I97" s="74">
        <f t="shared" si="253"/>
        <v>-8</v>
      </c>
      <c r="J97" s="74">
        <f t="shared" si="253"/>
        <v>-35</v>
      </c>
      <c r="K97" s="74">
        <f t="shared" si="253"/>
        <v>-28</v>
      </c>
      <c r="L97" s="74">
        <f t="shared" si="253"/>
        <v>1</v>
      </c>
      <c r="M97" s="74">
        <f t="shared" si="253"/>
        <v>-22</v>
      </c>
      <c r="N97" s="74">
        <f t="shared" si="253"/>
        <v>-5</v>
      </c>
      <c r="O97" s="74">
        <f t="shared" si="253"/>
        <v>-18</v>
      </c>
      <c r="P97" s="74">
        <f t="shared" si="253"/>
        <v>-20</v>
      </c>
      <c r="Q97" s="74">
        <f t="shared" si="253"/>
        <v>-17</v>
      </c>
      <c r="R97" s="74">
        <f t="shared" si="253"/>
        <v>-10</v>
      </c>
      <c r="S97" s="74">
        <f t="shared" si="253"/>
        <v>3</v>
      </c>
      <c r="T97" s="74">
        <f t="shared" si="253"/>
        <v>0</v>
      </c>
      <c r="U97" s="74">
        <f t="shared" si="253"/>
        <v>-4</v>
      </c>
      <c r="V97" s="74">
        <f t="shared" si="253"/>
        <v>-61</v>
      </c>
      <c r="W97" s="74">
        <f t="shared" si="253"/>
        <v>-19</v>
      </c>
      <c r="X97" s="74">
        <f t="shared" si="253"/>
        <v>-1</v>
      </c>
      <c r="Y97" s="74">
        <f t="shared" si="253"/>
        <v>0</v>
      </c>
      <c r="Z97" s="74">
        <f t="shared" si="253"/>
        <v>-27</v>
      </c>
      <c r="AA97" s="74">
        <f t="shared" si="253"/>
        <v>-3</v>
      </c>
      <c r="AB97" s="74">
        <f t="shared" si="253"/>
        <v>56</v>
      </c>
      <c r="AC97" s="74">
        <f t="shared" si="253"/>
        <v>20</v>
      </c>
      <c r="AD97" s="74">
        <f t="shared" si="253"/>
        <v>47</v>
      </c>
      <c r="AE97" s="74">
        <f t="shared" si="253"/>
        <v>-33</v>
      </c>
      <c r="AF97" s="74">
        <f t="shared" si="253"/>
        <v>81</v>
      </c>
      <c r="AG97" s="74">
        <f t="shared" si="253"/>
        <v>87</v>
      </c>
      <c r="AH97" s="74">
        <f t="shared" si="253"/>
        <v>114</v>
      </c>
      <c r="AI97" s="74">
        <f t="shared" si="253"/>
        <v>109</v>
      </c>
      <c r="AJ97" s="74">
        <f t="shared" si="253"/>
        <v>161</v>
      </c>
      <c r="AK97" s="74">
        <f t="shared" si="253"/>
        <v>5</v>
      </c>
      <c r="AL97" s="74">
        <f t="shared" si="253"/>
        <v>131</v>
      </c>
      <c r="AM97" s="74">
        <f t="shared" si="253"/>
        <v>151</v>
      </c>
      <c r="AN97" s="74">
        <f t="shared" si="253"/>
        <v>165</v>
      </c>
      <c r="AO97" s="74">
        <f t="shared" si="253"/>
        <v>206</v>
      </c>
      <c r="AP97" s="74">
        <f t="shared" si="253"/>
        <v>144</v>
      </c>
      <c r="AQ97" s="74">
        <f t="shared" si="253"/>
        <v>311</v>
      </c>
      <c r="AR97" s="74">
        <f t="shared" si="253"/>
        <v>-32</v>
      </c>
      <c r="AS97" s="74">
        <f t="shared" si="253"/>
        <v>168</v>
      </c>
      <c r="AT97" s="74">
        <f t="shared" si="253"/>
        <v>93</v>
      </c>
      <c r="AU97" s="74">
        <f t="shared" si="253"/>
        <v>280</v>
      </c>
      <c r="AV97" s="74">
        <f t="shared" si="253"/>
        <v>125</v>
      </c>
      <c r="AW97" s="74">
        <f t="shared" si="253"/>
        <v>146</v>
      </c>
      <c r="AX97" s="74">
        <f t="shared" ref="AX97:BK97" si="254">+AX80</f>
        <v>146</v>
      </c>
      <c r="AY97" s="74">
        <f t="shared" si="254"/>
        <v>117</v>
      </c>
      <c r="AZ97" s="74">
        <f t="shared" si="254"/>
        <v>384</v>
      </c>
      <c r="BA97" s="74">
        <f t="shared" si="254"/>
        <v>-172</v>
      </c>
      <c r="BB97" s="74">
        <f t="shared" si="254"/>
        <v>-88</v>
      </c>
      <c r="BC97" s="74">
        <f t="shared" si="254"/>
        <v>-250</v>
      </c>
      <c r="BD97" s="74">
        <f t="shared" si="254"/>
        <v>80</v>
      </c>
      <c r="BE97" s="74">
        <f t="shared" si="254"/>
        <v>-99</v>
      </c>
      <c r="BF97" s="74">
        <f t="shared" si="254"/>
        <v>272</v>
      </c>
      <c r="BG97" s="74">
        <f t="shared" si="254"/>
        <v>424</v>
      </c>
      <c r="BH97" s="74">
        <f t="shared" si="254"/>
        <v>365</v>
      </c>
      <c r="BI97" s="74">
        <f t="shared" si="254"/>
        <v>259</v>
      </c>
      <c r="BJ97" s="74">
        <f t="shared" ref="BJ97" si="255">+BJ80</f>
        <v>472</v>
      </c>
      <c r="BK97" s="74">
        <f t="shared" si="254"/>
        <v>0</v>
      </c>
      <c r="BL97" s="74">
        <f t="shared" ref="BL97:BO97" si="256">+BL80</f>
        <v>0</v>
      </c>
      <c r="BM97" s="74">
        <f t="shared" si="256"/>
        <v>0</v>
      </c>
      <c r="BN97" s="74">
        <f t="shared" si="256"/>
        <v>0</v>
      </c>
      <c r="BO97" s="74">
        <f t="shared" si="256"/>
        <v>0</v>
      </c>
      <c r="BS97" s="74">
        <f t="shared" ref="BS97:CA97" si="257">+BS80</f>
        <v>-8</v>
      </c>
      <c r="BT97" s="74">
        <f t="shared" si="257"/>
        <v>-24</v>
      </c>
      <c r="BU97" s="74">
        <f t="shared" si="257"/>
        <v>-61</v>
      </c>
      <c r="BV97" s="74">
        <f t="shared" si="257"/>
        <v>-44</v>
      </c>
      <c r="BW97" s="74">
        <f t="shared" si="257"/>
        <v>-44</v>
      </c>
      <c r="BX97" s="74">
        <f t="shared" si="257"/>
        <v>-84</v>
      </c>
      <c r="BY97" s="74">
        <f t="shared" si="257"/>
        <v>-31</v>
      </c>
      <c r="BZ97" s="74">
        <f t="shared" si="257"/>
        <v>90</v>
      </c>
      <c r="CA97" s="74">
        <f t="shared" si="257"/>
        <v>391</v>
      </c>
      <c r="CB97" s="74">
        <f>SUM(AJ97:AM97)</f>
        <v>448</v>
      </c>
      <c r="CC97" s="74">
        <f>+SUM(AN97:AQ97)</f>
        <v>826</v>
      </c>
      <c r="CD97" s="74">
        <f>+SUM(AR97:AU97)</f>
        <v>509</v>
      </c>
      <c r="CE97" s="74">
        <f>+SUM(AV97:AY97)</f>
        <v>534</v>
      </c>
      <c r="CF97" s="74">
        <f>+SUM(AZ97:BC97)</f>
        <v>-126</v>
      </c>
      <c r="CG97" s="74">
        <f>+SUM(BD97:BG97)</f>
        <v>677</v>
      </c>
      <c r="CH97" s="74">
        <f>+SUM(BH97:BK97)</f>
        <v>1096</v>
      </c>
      <c r="CI97" s="74">
        <f>+SUM(BL97:BO97)</f>
        <v>0</v>
      </c>
    </row>
    <row r="98" spans="2:90" ht="13.5" x14ac:dyDescent="0.35">
      <c r="B98" t="s">
        <v>523</v>
      </c>
      <c r="H98" s="73">
        <f t="shared" ref="H98:AW98" si="258">+H82</f>
        <v>-79.600000000000009</v>
      </c>
      <c r="I98" s="73">
        <f t="shared" si="258"/>
        <v>-79.800000000000011</v>
      </c>
      <c r="J98" s="73">
        <f t="shared" si="258"/>
        <v>-75.8</v>
      </c>
      <c r="K98" s="73">
        <f t="shared" si="258"/>
        <v>-104</v>
      </c>
      <c r="L98" s="73">
        <f t="shared" si="258"/>
        <v>-76.400000000000006</v>
      </c>
      <c r="M98" s="73">
        <f t="shared" si="258"/>
        <v>0</v>
      </c>
      <c r="N98" s="73">
        <f t="shared" si="258"/>
        <v>-74.400000000000006</v>
      </c>
      <c r="O98" s="73">
        <f t="shared" si="258"/>
        <v>-101</v>
      </c>
      <c r="P98" s="73">
        <f t="shared" si="258"/>
        <v>-70.600000000000009</v>
      </c>
      <c r="Q98" s="73">
        <f t="shared" si="258"/>
        <v>-109</v>
      </c>
      <c r="R98" s="73">
        <f t="shared" si="258"/>
        <v>-145.20000000000002</v>
      </c>
      <c r="S98" s="73">
        <f t="shared" si="258"/>
        <v>-227.20000000000002</v>
      </c>
      <c r="T98" s="73">
        <f t="shared" si="258"/>
        <v>-215</v>
      </c>
      <c r="U98" s="73">
        <f t="shared" si="258"/>
        <v>-277.2</v>
      </c>
      <c r="V98" s="73">
        <f t="shared" si="258"/>
        <v>-267.2</v>
      </c>
      <c r="W98" s="73">
        <f t="shared" si="258"/>
        <v>-222.8</v>
      </c>
      <c r="X98" s="73">
        <f t="shared" si="258"/>
        <v>-186.4</v>
      </c>
      <c r="Y98" s="73">
        <f t="shared" si="258"/>
        <v>-254.60000000000002</v>
      </c>
      <c r="Z98" s="73">
        <f t="shared" si="258"/>
        <v>-286.40000000000003</v>
      </c>
      <c r="AA98" s="73">
        <f t="shared" si="258"/>
        <v>-511.40000000000003</v>
      </c>
      <c r="AB98" s="73">
        <f t="shared" si="258"/>
        <v>-413.20000000000005</v>
      </c>
      <c r="AC98" s="73">
        <f t="shared" si="258"/>
        <v>-550.80000000000007</v>
      </c>
      <c r="AD98" s="73">
        <f t="shared" si="258"/>
        <v>-632.80000000000007</v>
      </c>
      <c r="AE98" s="73">
        <f t="shared" si="258"/>
        <v>-906.6</v>
      </c>
      <c r="AF98" s="73">
        <f t="shared" si="258"/>
        <v>-681.6</v>
      </c>
      <c r="AG98" s="73">
        <f t="shared" si="258"/>
        <v>-897.6</v>
      </c>
      <c r="AH98" s="73">
        <f t="shared" si="258"/>
        <v>-1047.2</v>
      </c>
      <c r="AI98" s="73">
        <f t="shared" si="258"/>
        <v>-1492.2</v>
      </c>
      <c r="AJ98" s="73">
        <f t="shared" si="258"/>
        <v>-1122</v>
      </c>
      <c r="AK98" s="73">
        <f t="shared" si="258"/>
        <v>-1173.6000000000001</v>
      </c>
      <c r="AL98" s="73">
        <f t="shared" si="258"/>
        <v>-1182.4000000000001</v>
      </c>
      <c r="AM98" s="73">
        <f t="shared" si="258"/>
        <v>-1594.2</v>
      </c>
      <c r="AN98" s="73">
        <f t="shared" si="258"/>
        <v>-1296.4000000000001</v>
      </c>
      <c r="AO98" s="73">
        <f t="shared" si="258"/>
        <v>-1366.4</v>
      </c>
      <c r="AP98" s="73">
        <f t="shared" si="258"/>
        <v>-1465.8000000000002</v>
      </c>
      <c r="AQ98" s="73">
        <f t="shared" si="258"/>
        <v>-1943.8000000000002</v>
      </c>
      <c r="AR98" s="73">
        <f t="shared" si="258"/>
        <v>-1172.2</v>
      </c>
      <c r="AS98" s="73">
        <f t="shared" si="258"/>
        <v>-1226.2</v>
      </c>
      <c r="AT98" s="73">
        <f t="shared" si="258"/>
        <v>-1626.6000000000001</v>
      </c>
      <c r="AU98" s="73">
        <f t="shared" si="258"/>
        <v>-2611</v>
      </c>
      <c r="AV98" s="73">
        <f t="shared" si="258"/>
        <v>-2300.6</v>
      </c>
      <c r="AW98" s="73">
        <f t="shared" si="258"/>
        <v>-2502.6000000000004</v>
      </c>
      <c r="AX98" s="73">
        <f t="shared" ref="AX98:BK98" si="259">+AX82</f>
        <v>-2113.8000000000002</v>
      </c>
      <c r="AY98" s="73">
        <f t="shared" si="259"/>
        <v>-2540.4</v>
      </c>
      <c r="AZ98" s="73">
        <f t="shared" si="259"/>
        <v>-1781.6000000000001</v>
      </c>
      <c r="BA98" s="73">
        <f t="shared" si="259"/>
        <v>-1637.2</v>
      </c>
      <c r="BB98" s="73">
        <f t="shared" si="259"/>
        <v>-1197.8</v>
      </c>
      <c r="BC98" s="73">
        <f t="shared" si="259"/>
        <v>-2069.4</v>
      </c>
      <c r="BD98" s="73">
        <f t="shared" si="259"/>
        <v>-1690.2</v>
      </c>
      <c r="BE98" s="73">
        <f t="shared" si="259"/>
        <v>-2388.6</v>
      </c>
      <c r="BF98" s="73">
        <f t="shared" si="259"/>
        <v>-2880</v>
      </c>
      <c r="BG98" s="73">
        <f t="shared" si="259"/>
        <v>-3591.2000000000003</v>
      </c>
      <c r="BH98" s="73">
        <f t="shared" si="259"/>
        <v>-2885.8</v>
      </c>
      <c r="BI98" s="73">
        <f t="shared" si="259"/>
        <v>-3301.2000000000003</v>
      </c>
      <c r="BJ98" s="73">
        <f t="shared" ref="BJ98" si="260">+BJ82</f>
        <v>-3564.4</v>
      </c>
      <c r="BK98" s="73">
        <f t="shared" si="259"/>
        <v>-4059.6958177258816</v>
      </c>
      <c r="BL98" s="73">
        <f t="shared" ref="BL98:BO98" si="261">+BL82</f>
        <v>-3164.8013695241011</v>
      </c>
      <c r="BM98" s="73">
        <f t="shared" si="261"/>
        <v>-3646.8430108933107</v>
      </c>
      <c r="BN98" s="73">
        <f t="shared" si="261"/>
        <v>-3765.457780792854</v>
      </c>
      <c r="BO98" s="73">
        <f t="shared" si="261"/>
        <v>-4532.4813350634495</v>
      </c>
      <c r="BP98" s="112"/>
      <c r="BQ98" s="112"/>
      <c r="BR98" s="112"/>
      <c r="BS98" s="73">
        <f t="shared" ref="BS98:CA98" si="262">+BS82</f>
        <v>-50.800000000000004</v>
      </c>
      <c r="BT98" s="73">
        <f t="shared" si="262"/>
        <v>-201.60000000000002</v>
      </c>
      <c r="BU98" s="73">
        <f t="shared" si="262"/>
        <v>-339.20000000000005</v>
      </c>
      <c r="BV98" s="73">
        <f t="shared" si="262"/>
        <v>-98.800000000000011</v>
      </c>
      <c r="BW98" s="73">
        <f t="shared" si="262"/>
        <v>-552</v>
      </c>
      <c r="BX98" s="73">
        <f t="shared" si="262"/>
        <v>-982.2</v>
      </c>
      <c r="BY98" s="73">
        <f t="shared" si="262"/>
        <v>-1238.8000000000002</v>
      </c>
      <c r="BZ98" s="73">
        <f t="shared" si="262"/>
        <v>-2503.4</v>
      </c>
      <c r="CA98" s="73">
        <f t="shared" si="262"/>
        <v>-4118.6000000000004</v>
      </c>
      <c r="CB98" s="73">
        <f>SUM(AJ98:AM98)</f>
        <v>-5072.2000000000007</v>
      </c>
      <c r="CC98" s="73">
        <f>+SUM(AN98:AQ98)</f>
        <v>-6072.4000000000005</v>
      </c>
      <c r="CD98" s="73">
        <f>+SUM(AR98:AU98)</f>
        <v>-6636</v>
      </c>
      <c r="CE98" s="73">
        <f>+SUM(AV98:AY98)</f>
        <v>-9457.4000000000015</v>
      </c>
      <c r="CF98" s="73">
        <f>+SUM(AZ98:BC98)</f>
        <v>-6686</v>
      </c>
      <c r="CG98" s="73">
        <f>+SUM(BD98:BG98)</f>
        <v>-10550</v>
      </c>
      <c r="CH98" s="73">
        <f>+SUM(BH98:BK98)</f>
        <v>-13811.095817725882</v>
      </c>
      <c r="CI98" s="73">
        <f>+SUM(BL98:BO98)</f>
        <v>-15109.583496273717</v>
      </c>
    </row>
    <row r="99" spans="2:90" s="44" customFormat="1" x14ac:dyDescent="0.2">
      <c r="B99" s="110" t="s">
        <v>30</v>
      </c>
      <c r="H99" s="139">
        <f>+H91+SUM(H97:H98)</f>
        <v>216.39999999999998</v>
      </c>
      <c r="I99" s="139">
        <f t="shared" ref="I99:AW99" si="263">+I91+SUM(I97:I98)</f>
        <v>259.2</v>
      </c>
      <c r="J99" s="139">
        <f t="shared" si="263"/>
        <v>264.2</v>
      </c>
      <c r="K99" s="139">
        <f t="shared" si="263"/>
        <v>334</v>
      </c>
      <c r="L99" s="139">
        <f t="shared" si="263"/>
        <v>-37.400000000000006</v>
      </c>
      <c r="M99" s="139">
        <f t="shared" si="263"/>
        <v>-1039</v>
      </c>
      <c r="N99" s="139">
        <f t="shared" si="263"/>
        <v>302.60000000000002</v>
      </c>
      <c r="O99" s="139">
        <f t="shared" si="263"/>
        <v>430</v>
      </c>
      <c r="P99" s="139">
        <f t="shared" si="263"/>
        <v>188.39999999999998</v>
      </c>
      <c r="Q99" s="139">
        <f t="shared" si="263"/>
        <v>398</v>
      </c>
      <c r="R99" s="139">
        <f t="shared" si="263"/>
        <v>570.79999999999995</v>
      </c>
      <c r="S99" s="139">
        <f t="shared" si="263"/>
        <v>699.8</v>
      </c>
      <c r="T99" s="139">
        <f t="shared" si="263"/>
        <v>761</v>
      </c>
      <c r="U99" s="139">
        <f t="shared" si="263"/>
        <v>896.8</v>
      </c>
      <c r="V99" s="139">
        <f t="shared" si="263"/>
        <v>875.8</v>
      </c>
      <c r="W99" s="139">
        <f t="shared" si="263"/>
        <v>807.2</v>
      </c>
      <c r="X99" s="139">
        <f t="shared" si="263"/>
        <v>700.6</v>
      </c>
      <c r="Y99" s="139">
        <f t="shared" si="263"/>
        <v>928.4</v>
      </c>
      <c r="Z99" s="139">
        <f t="shared" si="263"/>
        <v>851.59999999999991</v>
      </c>
      <c r="AA99" s="139">
        <f t="shared" si="263"/>
        <v>1896.6</v>
      </c>
      <c r="AB99" s="139">
        <f t="shared" si="263"/>
        <v>1072.8</v>
      </c>
      <c r="AC99" s="139">
        <f t="shared" si="263"/>
        <v>1793.1999999999998</v>
      </c>
      <c r="AD99" s="139">
        <f t="shared" si="263"/>
        <v>2027.1999999999998</v>
      </c>
      <c r="AE99" s="139">
        <f t="shared" si="263"/>
        <v>2971.4</v>
      </c>
      <c r="AF99" s="139">
        <f t="shared" si="263"/>
        <v>2126.4</v>
      </c>
      <c r="AG99" s="139">
        <f t="shared" si="263"/>
        <v>2875.4</v>
      </c>
      <c r="AH99" s="139">
        <f t="shared" si="263"/>
        <v>3205.8</v>
      </c>
      <c r="AI99" s="139">
        <f t="shared" si="263"/>
        <v>4558.8</v>
      </c>
      <c r="AJ99" s="139">
        <f t="shared" si="263"/>
        <v>2625</v>
      </c>
      <c r="AK99" s="139">
        <f t="shared" si="263"/>
        <v>2269.3999999999996</v>
      </c>
      <c r="AL99" s="139">
        <f t="shared" si="263"/>
        <v>2494.6</v>
      </c>
      <c r="AM99" s="139">
        <f t="shared" si="263"/>
        <v>3300.8</v>
      </c>
      <c r="AN99" s="139">
        <f t="shared" si="263"/>
        <v>2578.6</v>
      </c>
      <c r="AO99" s="139">
        <f t="shared" si="263"/>
        <v>3192.6</v>
      </c>
      <c r="AP99" s="139">
        <f t="shared" si="263"/>
        <v>3603.2</v>
      </c>
      <c r="AQ99" s="139">
        <f t="shared" si="263"/>
        <v>5002.2</v>
      </c>
      <c r="AR99" s="139">
        <f t="shared" si="263"/>
        <v>2627.8</v>
      </c>
      <c r="AS99" s="139">
        <f t="shared" si="263"/>
        <v>3244.8</v>
      </c>
      <c r="AT99" s="139">
        <f t="shared" si="263"/>
        <v>4326.3999999999996</v>
      </c>
      <c r="AU99" s="139">
        <f t="shared" si="263"/>
        <v>7489</v>
      </c>
      <c r="AV99" s="139">
        <f t="shared" si="263"/>
        <v>6751.4</v>
      </c>
      <c r="AW99" s="139">
        <f t="shared" si="263"/>
        <v>7260.4</v>
      </c>
      <c r="AX99" s="139">
        <f t="shared" ref="AX99:BK99" si="264">+AX91+SUM(AX97:AX98)</f>
        <v>5906.2</v>
      </c>
      <c r="AY99" s="139">
        <f t="shared" si="264"/>
        <v>6633.6</v>
      </c>
      <c r="AZ99" s="139">
        <f t="shared" si="264"/>
        <v>3734.3999999999996</v>
      </c>
      <c r="BA99" s="139">
        <f t="shared" si="264"/>
        <v>780.8</v>
      </c>
      <c r="BB99" s="139">
        <f t="shared" si="264"/>
        <v>-2551.8000000000002</v>
      </c>
      <c r="BC99" s="139">
        <f t="shared" si="264"/>
        <v>1430.6</v>
      </c>
      <c r="BD99" s="139">
        <f t="shared" si="264"/>
        <v>2197.8000000000002</v>
      </c>
      <c r="BE99" s="139">
        <f t="shared" si="264"/>
        <v>5823.4</v>
      </c>
      <c r="BF99" s="139">
        <f t="shared" si="264"/>
        <v>7615</v>
      </c>
      <c r="BG99" s="139">
        <f t="shared" si="264"/>
        <v>9637.7999999999993</v>
      </c>
      <c r="BH99" s="139">
        <f t="shared" si="264"/>
        <v>8202.2000000000007</v>
      </c>
      <c r="BI99" s="139">
        <f t="shared" si="264"/>
        <v>8369.7999999999993</v>
      </c>
      <c r="BJ99" s="139">
        <f t="shared" ref="BJ99" si="265">+BJ91+SUM(BJ97:BJ98)</f>
        <v>9082.6</v>
      </c>
      <c r="BK99" s="139">
        <f t="shared" si="264"/>
        <v>7051.0922798850042</v>
      </c>
      <c r="BL99" s="139">
        <f t="shared" ref="BL99:BO99" si="266">+BL91+SUM(BL97:BL98)</f>
        <v>6984.1970032585559</v>
      </c>
      <c r="BM99" s="139">
        <f t="shared" si="266"/>
        <v>8434.7043607372543</v>
      </c>
      <c r="BN99" s="139">
        <f t="shared" si="266"/>
        <v>8800.2181044786266</v>
      </c>
      <c r="BO99" s="139">
        <f t="shared" si="266"/>
        <v>9600.8603547175189</v>
      </c>
      <c r="BS99" s="139">
        <f t="shared" ref="BS99:CA99" si="267">+BS91+SUM(BS97:BS98)</f>
        <v>248.2</v>
      </c>
      <c r="BT99" s="139">
        <f t="shared" si="267"/>
        <v>652.4</v>
      </c>
      <c r="BU99" s="139">
        <f t="shared" si="267"/>
        <v>1073.8</v>
      </c>
      <c r="BV99" s="139">
        <f t="shared" si="267"/>
        <v>-190.8</v>
      </c>
      <c r="BW99" s="139">
        <f t="shared" si="267"/>
        <v>1857</v>
      </c>
      <c r="BX99" s="139">
        <f t="shared" si="267"/>
        <v>3340.8</v>
      </c>
      <c r="BY99" s="139">
        <f t="shared" si="267"/>
        <v>4377.2</v>
      </c>
      <c r="BZ99" s="139">
        <f t="shared" si="267"/>
        <v>7864.6</v>
      </c>
      <c r="CA99" s="139">
        <f t="shared" si="267"/>
        <v>12766.4</v>
      </c>
      <c r="CB99" s="139">
        <f>SUM(AJ99:AM99)</f>
        <v>10689.8</v>
      </c>
      <c r="CC99" s="139">
        <f>+SUM(AN99:AQ99)</f>
        <v>14376.599999999999</v>
      </c>
      <c r="CD99" s="139">
        <f>+SUM(AR99:AU99)</f>
        <v>17688</v>
      </c>
      <c r="CE99" s="139">
        <f>+SUM(AV99:AY99)</f>
        <v>26551.599999999999</v>
      </c>
      <c r="CF99" s="139">
        <f>+SUM(AZ99:BC99)</f>
        <v>3393.9999999999995</v>
      </c>
      <c r="CG99" s="139">
        <f>+SUM(BD99:BG99)</f>
        <v>25274</v>
      </c>
      <c r="CH99" s="139">
        <f>+SUM(BH99:BK99)</f>
        <v>32705.692279885003</v>
      </c>
      <c r="CI99" s="139">
        <f>+SUM(BL99:BO99)</f>
        <v>33819.979823191956</v>
      </c>
      <c r="CJ99" s="111"/>
    </row>
    <row r="100" spans="2:90" s="44" customFormat="1" x14ac:dyDescent="0.2">
      <c r="B100" s="140" t="s">
        <v>113</v>
      </c>
      <c r="H100" s="114">
        <f t="shared" ref="H100:AW100" si="268">+H99/H84</f>
        <v>9.4374182293938069E-2</v>
      </c>
      <c r="I100" s="114">
        <f t="shared" si="268"/>
        <v>0.11091142490372272</v>
      </c>
      <c r="J100" s="114">
        <f t="shared" si="268"/>
        <v>0.11261722080136402</v>
      </c>
      <c r="K100" s="114">
        <f t="shared" si="268"/>
        <v>0.14212765957446807</v>
      </c>
      <c r="L100" s="114">
        <f t="shared" si="268"/>
        <v>-1.6218560277536861E-2</v>
      </c>
      <c r="M100" s="114">
        <f t="shared" si="268"/>
        <v>-0.42390860873113018</v>
      </c>
      <c r="N100" s="114">
        <f t="shared" si="268"/>
        <v>0.11733229934082978</v>
      </c>
      <c r="O100" s="114">
        <f t="shared" si="268"/>
        <v>0.17158818834796488</v>
      </c>
      <c r="P100" s="114">
        <f t="shared" si="268"/>
        <v>7.5390156062424968E-2</v>
      </c>
      <c r="Q100" s="114">
        <f t="shared" si="268"/>
        <v>0.15907274180655476</v>
      </c>
      <c r="R100" s="114">
        <f t="shared" si="268"/>
        <v>0.22579113924050631</v>
      </c>
      <c r="S100" s="114">
        <f t="shared" si="268"/>
        <v>0.27357310398749018</v>
      </c>
      <c r="T100" s="114">
        <f t="shared" si="268"/>
        <v>0.29168263702568031</v>
      </c>
      <c r="U100" s="114">
        <f t="shared" si="268"/>
        <v>0.34294455066921603</v>
      </c>
      <c r="V100" s="114">
        <f t="shared" si="268"/>
        <v>0.33124054462934943</v>
      </c>
      <c r="W100" s="114">
        <f t="shared" si="268"/>
        <v>0.2866477272727273</v>
      </c>
      <c r="X100" s="114">
        <f t="shared" si="268"/>
        <v>0.24703808180535966</v>
      </c>
      <c r="Y100" s="114">
        <f t="shared" si="268"/>
        <v>0.3257543859649123</v>
      </c>
      <c r="Z100" s="114">
        <f t="shared" si="268"/>
        <v>0.29745022703457907</v>
      </c>
      <c r="AA100" s="114">
        <f t="shared" si="268"/>
        <v>0.65899930507296733</v>
      </c>
      <c r="AB100" s="114">
        <f t="shared" si="268"/>
        <v>0.36929432013769364</v>
      </c>
      <c r="AC100" s="114">
        <f t="shared" si="268"/>
        <v>0.61389934953782943</v>
      </c>
      <c r="AD100" s="114">
        <f t="shared" si="268"/>
        <v>0.69164107813033093</v>
      </c>
      <c r="AE100" s="114">
        <f t="shared" si="268"/>
        <v>1.0113682777399591</v>
      </c>
      <c r="AF100" s="114">
        <f t="shared" si="268"/>
        <v>0.7222826086956522</v>
      </c>
      <c r="AG100" s="114">
        <f t="shared" si="268"/>
        <v>0.97438156557099287</v>
      </c>
      <c r="AH100" s="114">
        <f t="shared" si="268"/>
        <v>1.0845060893098784</v>
      </c>
      <c r="AI100" s="114">
        <f t="shared" si="268"/>
        <v>1.5432633716993907</v>
      </c>
      <c r="AJ100" s="114">
        <f t="shared" si="268"/>
        <v>0.89134125636672323</v>
      </c>
      <c r="AK100" s="114">
        <f t="shared" si="268"/>
        <v>0.77453924914675754</v>
      </c>
      <c r="AL100" s="114">
        <f t="shared" si="268"/>
        <v>0.85636800549261927</v>
      </c>
      <c r="AM100" s="114">
        <f t="shared" si="268"/>
        <v>1.1437283437283439</v>
      </c>
      <c r="AN100" s="114">
        <f t="shared" si="268"/>
        <v>0.89878006273963051</v>
      </c>
      <c r="AO100" s="114">
        <f t="shared" si="268"/>
        <v>1.1104695652173913</v>
      </c>
      <c r="AP100" s="114">
        <f t="shared" si="268"/>
        <v>1.253723034098817</v>
      </c>
      <c r="AQ100" s="114">
        <f t="shared" si="268"/>
        <v>1.742319749216301</v>
      </c>
      <c r="AR100" s="114">
        <f t="shared" si="268"/>
        <v>0.91624825662482567</v>
      </c>
      <c r="AS100" s="114">
        <f t="shared" si="268"/>
        <v>1.1270580062521709</v>
      </c>
      <c r="AT100" s="114">
        <f t="shared" si="268"/>
        <v>1.4965063991698373</v>
      </c>
      <c r="AU100" s="114">
        <f t="shared" si="268"/>
        <v>2.5913494809688582</v>
      </c>
      <c r="AV100" s="114">
        <f t="shared" si="268"/>
        <v>2.3426092990978487</v>
      </c>
      <c r="AW100" s="114">
        <f t="shared" si="268"/>
        <v>2.5236009732360096</v>
      </c>
      <c r="AX100" s="114">
        <f t="shared" ref="AX100:BK100" si="269">+AX99/AX84</f>
        <v>2.065827212311997</v>
      </c>
      <c r="AY100" s="114">
        <f t="shared" si="269"/>
        <v>2.3699892818863879</v>
      </c>
      <c r="AZ100" s="114">
        <f t="shared" si="269"/>
        <v>1.361925601750547</v>
      </c>
      <c r="BA100" s="114">
        <f t="shared" si="269"/>
        <v>0.28779948396608918</v>
      </c>
      <c r="BB100" s="114">
        <f t="shared" si="269"/>
        <v>-0.94968366207666555</v>
      </c>
      <c r="BC100" s="114">
        <f t="shared" si="269"/>
        <v>0.54189393939393937</v>
      </c>
      <c r="BD100" s="114">
        <f t="shared" si="269"/>
        <v>0.84661016949152545</v>
      </c>
      <c r="BE100" s="114">
        <f t="shared" si="269"/>
        <v>2.22947932618683</v>
      </c>
      <c r="BF100" s="114">
        <f t="shared" si="269"/>
        <v>2.8833775085195001</v>
      </c>
      <c r="BG100" s="114">
        <f t="shared" si="269"/>
        <v>3.6645627376425853</v>
      </c>
      <c r="BH100" s="114">
        <f t="shared" si="269"/>
        <v>3.1246476190476193</v>
      </c>
      <c r="BI100" s="114">
        <f t="shared" si="269"/>
        <v>3.2068199233716475</v>
      </c>
      <c r="BJ100" s="114">
        <f t="shared" ref="BJ100" si="270">+BJ99/BJ84</f>
        <v>3.4933076923076927</v>
      </c>
      <c r="BK100" s="114">
        <f t="shared" si="269"/>
        <v>2.7119585691865402</v>
      </c>
      <c r="BL100" s="114">
        <f t="shared" ref="BL100:BO100" si="271">+BL99/BL84</f>
        <v>2.686229616637906</v>
      </c>
      <c r="BM100" s="114">
        <f t="shared" si="271"/>
        <v>3.244117061822021</v>
      </c>
      <c r="BN100" s="114">
        <f t="shared" si="271"/>
        <v>3.3846992709533179</v>
      </c>
      <c r="BO100" s="114">
        <f t="shared" si="271"/>
        <v>3.6926385979682763</v>
      </c>
      <c r="BS100" s="114"/>
      <c r="BT100" s="114"/>
      <c r="BU100" s="114">
        <f t="shared" ref="BU100:CF100" si="272">+BU99/BU84</f>
        <v>0.46056187004074628</v>
      </c>
      <c r="BV100" s="114">
        <f t="shared" si="272"/>
        <v>-7.754521438731965E-2</v>
      </c>
      <c r="BW100" s="114">
        <f t="shared" si="272"/>
        <v>0.73639337761475165</v>
      </c>
      <c r="BX100" s="114">
        <f t="shared" si="272"/>
        <v>1.2507675028079372</v>
      </c>
      <c r="BY100" s="114">
        <f t="shared" si="272"/>
        <v>1.5322306817187363</v>
      </c>
      <c r="BZ100" s="114">
        <f t="shared" si="272"/>
        <v>2.689901667379222</v>
      </c>
      <c r="CA100" s="114">
        <f t="shared" si="272"/>
        <v>4.3257602710715801</v>
      </c>
      <c r="CB100" s="114">
        <f t="shared" si="272"/>
        <v>3.6627719719033749</v>
      </c>
      <c r="CC100" s="114">
        <f t="shared" si="272"/>
        <v>4.9988178025034768</v>
      </c>
      <c r="CD100" s="114">
        <f t="shared" si="272"/>
        <v>6.1246537396121887</v>
      </c>
      <c r="CE100" s="114">
        <f t="shared" si="272"/>
        <v>9.2870234347674003</v>
      </c>
      <c r="CF100" s="114">
        <f t="shared" si="272"/>
        <v>1.2561065877128053</v>
      </c>
      <c r="CG100" s="114">
        <f>+CG99/CG84</f>
        <v>9.6135412704450367</v>
      </c>
      <c r="CH100" s="114">
        <f>+CH99/CH84</f>
        <v>12.536920854771443</v>
      </c>
      <c r="CI100" s="114">
        <f>+CI99/CI84</f>
        <v>13.007684547381521</v>
      </c>
    </row>
    <row r="101" spans="2:90" x14ac:dyDescent="0.2">
      <c r="B101" s="101" t="s">
        <v>17</v>
      </c>
      <c r="H101" s="106"/>
      <c r="I101" s="106"/>
      <c r="J101" s="106"/>
      <c r="K101" s="106"/>
      <c r="L101" s="106">
        <f t="shared" ref="L101:BJ101" si="273">+L100/H100-1</f>
        <v>-1.1718537833474678</v>
      </c>
      <c r="M101" s="106">
        <f t="shared" si="273"/>
        <v>-4.8220463680735008</v>
      </c>
      <c r="N101" s="106">
        <f t="shared" si="273"/>
        <v>4.1868184154377985E-2</v>
      </c>
      <c r="O101" s="106">
        <f t="shared" si="273"/>
        <v>0.2072821635261004</v>
      </c>
      <c r="P101" s="106">
        <f t="shared" si="273"/>
        <v>-5.6483876973249192</v>
      </c>
      <c r="Q101" s="106">
        <f t="shared" si="273"/>
        <v>-1.37525244481989</v>
      </c>
      <c r="R101" s="106">
        <f t="shared" si="273"/>
        <v>0.92437325876161847</v>
      </c>
      <c r="S101" s="106">
        <f t="shared" si="273"/>
        <v>0.59435860137825669</v>
      </c>
      <c r="T101" s="106">
        <f t="shared" si="273"/>
        <v>2.8689751057705686</v>
      </c>
      <c r="U101" s="106">
        <f t="shared" si="273"/>
        <v>1.1558976526994433</v>
      </c>
      <c r="V101" s="106">
        <f t="shared" si="273"/>
        <v>0.4670218935231174</v>
      </c>
      <c r="W101" s="106">
        <f t="shared" si="273"/>
        <v>4.7792063966328291E-2</v>
      </c>
      <c r="X101" s="106">
        <f t="shared" si="273"/>
        <v>-0.15305866566335957</v>
      </c>
      <c r="Y101" s="106">
        <f t="shared" si="273"/>
        <v>-5.0125201496157734E-2</v>
      </c>
      <c r="Z101" s="106">
        <f t="shared" si="273"/>
        <v>-0.10201141781293999</v>
      </c>
      <c r="AA101" s="106">
        <f t="shared" si="273"/>
        <v>1.2989866737927103</v>
      </c>
      <c r="AB101" s="106">
        <f t="shared" si="273"/>
        <v>0.49488822710605085</v>
      </c>
      <c r="AC101" s="106">
        <f t="shared" si="273"/>
        <v>0.88454668912409939</v>
      </c>
      <c r="AD101" s="106">
        <f t="shared" si="273"/>
        <v>1.3252329810793069</v>
      </c>
      <c r="AE101" s="106">
        <f t="shared" si="273"/>
        <v>0.5347031020434474</v>
      </c>
      <c r="AF101" s="106">
        <f t="shared" si="273"/>
        <v>0.95584543089193663</v>
      </c>
      <c r="AG101" s="106">
        <f t="shared" si="273"/>
        <v>0.58720084376135984</v>
      </c>
      <c r="AH101" s="106">
        <f t="shared" si="273"/>
        <v>0.56801862064288344</v>
      </c>
      <c r="AI101" s="106">
        <f t="shared" si="273"/>
        <v>0.52591633104018642</v>
      </c>
      <c r="AJ101" s="106">
        <f t="shared" si="273"/>
        <v>0.23406163409689285</v>
      </c>
      <c r="AK101" s="106">
        <f t="shared" si="273"/>
        <v>-0.2050965694400495</v>
      </c>
      <c r="AL101" s="106">
        <f t="shared" si="273"/>
        <v>-0.21036127511504699</v>
      </c>
      <c r="AM101" s="106">
        <f t="shared" si="273"/>
        <v>-0.25888972374889707</v>
      </c>
      <c r="AN101" s="106">
        <f t="shared" si="273"/>
        <v>8.345632292652061E-3</v>
      </c>
      <c r="AO101" s="106">
        <f t="shared" si="273"/>
        <v>0.43371632417685602</v>
      </c>
      <c r="AP101" s="106">
        <f t="shared" si="273"/>
        <v>0.46400032002319169</v>
      </c>
      <c r="AQ101" s="106">
        <f t="shared" si="273"/>
        <v>0.52336851558356878</v>
      </c>
      <c r="AR101" s="106">
        <f t="shared" si="273"/>
        <v>1.9435448792610277E-2</v>
      </c>
      <c r="AS101" s="106">
        <f t="shared" si="273"/>
        <v>1.4938222130862489E-2</v>
      </c>
      <c r="AT101" s="106">
        <f t="shared" si="273"/>
        <v>0.19364991985293978</v>
      </c>
      <c r="AU101" s="106">
        <f t="shared" si="273"/>
        <v>0.48729846064963245</v>
      </c>
      <c r="AV101" s="106">
        <f t="shared" si="273"/>
        <v>1.5567407983151798</v>
      </c>
      <c r="AW101" s="106">
        <f t="shared" si="273"/>
        <v>1.2391047836373494</v>
      </c>
      <c r="AX101" s="106">
        <f t="shared" si="273"/>
        <v>0.38043326340467454</v>
      </c>
      <c r="AY101" s="106">
        <f t="shared" si="273"/>
        <v>-8.5422750079895748E-2</v>
      </c>
      <c r="AZ101" s="106">
        <f t="shared" si="273"/>
        <v>-0.41862879043678691</v>
      </c>
      <c r="BA101" s="106">
        <f t="shared" si="273"/>
        <v>-0.88595681844382701</v>
      </c>
      <c r="BB101" s="106">
        <f t="shared" si="273"/>
        <v>-1.4597110815544998</v>
      </c>
      <c r="BC101" s="106">
        <f t="shared" si="273"/>
        <v>-0.77135173414682279</v>
      </c>
      <c r="BD101" s="106">
        <f t="shared" si="273"/>
        <v>-0.3783726743932726</v>
      </c>
      <c r="BE101" s="106">
        <f t="shared" si="273"/>
        <v>6.7466411525933276</v>
      </c>
      <c r="BF101" s="106">
        <f t="shared" si="273"/>
        <v>-4.0361452172552301</v>
      </c>
      <c r="BG101" s="106">
        <f t="shared" si="273"/>
        <v>5.7625091761333884</v>
      </c>
      <c r="BH101" s="106">
        <f t="shared" si="273"/>
        <v>2.6907749654416322</v>
      </c>
      <c r="BI101" s="106">
        <f t="shared" si="273"/>
        <v>0.43837167974838476</v>
      </c>
      <c r="BJ101" s="106">
        <f t="shared" si="273"/>
        <v>0.21153323905247756</v>
      </c>
      <c r="BK101" s="106">
        <f>+BK100/BG100-1</f>
        <v>-0.25995029602600161</v>
      </c>
      <c r="BL101" s="106">
        <f t="shared" ref="BL101:BO101" si="274">+BL100/BH100-1</f>
        <v>-0.14030958234686997</v>
      </c>
      <c r="BM101" s="106">
        <f t="shared" si="274"/>
        <v>1.1630568395358809E-2</v>
      </c>
      <c r="BN101" s="106">
        <f t="shared" si="274"/>
        <v>-3.1090425155943735E-2</v>
      </c>
      <c r="BO101" s="106">
        <f t="shared" si="274"/>
        <v>0.36161320453943868</v>
      </c>
      <c r="BP101" s="106"/>
      <c r="BQ101" s="106"/>
      <c r="BR101" s="106"/>
      <c r="BS101" s="106"/>
      <c r="BT101" s="106"/>
      <c r="BU101" s="106"/>
      <c r="BV101" s="106">
        <f t="shared" ref="BV101:CI101" si="275">+BV100/BU100-1</f>
        <v>-1.1683708952728959</v>
      </c>
      <c r="BW101" s="106">
        <f t="shared" si="275"/>
        <v>-10.496309777888346</v>
      </c>
      <c r="BX101" s="106">
        <f t="shared" si="275"/>
        <v>0.69850455046091309</v>
      </c>
      <c r="BY101" s="106">
        <f t="shared" si="275"/>
        <v>0.22503237274627153</v>
      </c>
      <c r="BZ101" s="106">
        <f t="shared" si="275"/>
        <v>0.755546145546375</v>
      </c>
      <c r="CA101" s="106">
        <f t="shared" si="275"/>
        <v>0.60814810575814815</v>
      </c>
      <c r="CB101" s="106">
        <f t="shared" si="275"/>
        <v>-0.15326515054519407</v>
      </c>
      <c r="CC101" s="106">
        <f t="shared" si="275"/>
        <v>0.36476358365978756</v>
      </c>
      <c r="CD101" s="106">
        <f t="shared" si="275"/>
        <v>0.22522043842943784</v>
      </c>
      <c r="CE101" s="106">
        <f t="shared" si="275"/>
        <v>0.51633444592991018</v>
      </c>
      <c r="CF101" s="106">
        <f t="shared" si="275"/>
        <v>-0.8647460516778307</v>
      </c>
      <c r="CG101" s="106">
        <f t="shared" si="275"/>
        <v>6.6534438752924254</v>
      </c>
      <c r="CH101" s="106">
        <f t="shared" si="275"/>
        <v>0.30408977317378016</v>
      </c>
      <c r="CI101" s="106">
        <f t="shared" si="275"/>
        <v>3.7550184615779081E-2</v>
      </c>
    </row>
    <row r="102" spans="2:90" x14ac:dyDescent="0.2">
      <c r="H102" s="49"/>
      <c r="I102" s="49"/>
      <c r="J102" s="49"/>
      <c r="K102" s="49"/>
      <c r="L102" s="49"/>
      <c r="AB102" s="49"/>
      <c r="AC102" s="49"/>
      <c r="AD102" s="49"/>
      <c r="BU102" s="49"/>
      <c r="BZ102" s="56"/>
      <c r="CA102" s="56"/>
      <c r="CB102" s="56"/>
      <c r="CC102" s="56"/>
      <c r="CD102" s="56"/>
      <c r="CE102" s="56"/>
      <c r="CF102" s="56"/>
      <c r="CG102" s="56"/>
      <c r="CH102" s="56"/>
      <c r="CI102" s="56"/>
    </row>
    <row r="103" spans="2:90" x14ac:dyDescent="0.2">
      <c r="B103" t="s">
        <v>31</v>
      </c>
      <c r="H103" s="64">
        <f>+H476</f>
        <v>7</v>
      </c>
      <c r="I103" s="64">
        <f t="shared" ref="I103:AT103" si="276">+I476</f>
        <v>64</v>
      </c>
      <c r="J103" s="64">
        <f t="shared" si="276"/>
        <v>70</v>
      </c>
      <c r="K103" s="64">
        <f t="shared" si="276"/>
        <v>76</v>
      </c>
      <c r="L103" s="64">
        <f t="shared" si="276"/>
        <v>103</v>
      </c>
      <c r="M103" s="64">
        <f t="shared" si="276"/>
        <v>1106</v>
      </c>
      <c r="N103" s="64">
        <f t="shared" si="276"/>
        <v>179</v>
      </c>
      <c r="O103" s="64">
        <f t="shared" si="276"/>
        <v>184</v>
      </c>
      <c r="P103" s="64">
        <f t="shared" si="276"/>
        <v>170</v>
      </c>
      <c r="Q103" s="64">
        <f t="shared" si="276"/>
        <v>224</v>
      </c>
      <c r="R103" s="64">
        <f t="shared" si="276"/>
        <v>239</v>
      </c>
      <c r="S103" s="64">
        <f t="shared" si="276"/>
        <v>273</v>
      </c>
      <c r="T103" s="64">
        <f t="shared" si="276"/>
        <v>274</v>
      </c>
      <c r="U103" s="64">
        <f t="shared" si="276"/>
        <v>314</v>
      </c>
      <c r="V103" s="64">
        <f t="shared" si="276"/>
        <v>353</v>
      </c>
      <c r="W103" s="64">
        <f t="shared" si="276"/>
        <v>896</v>
      </c>
      <c r="X103" s="64">
        <f t="shared" si="276"/>
        <v>703</v>
      </c>
      <c r="Y103" s="64">
        <f t="shared" si="276"/>
        <v>763</v>
      </c>
      <c r="Z103" s="64">
        <f t="shared" si="276"/>
        <v>757</v>
      </c>
      <c r="AA103" s="64">
        <f t="shared" si="276"/>
        <v>746</v>
      </c>
      <c r="AB103" s="64">
        <f t="shared" si="276"/>
        <v>746</v>
      </c>
      <c r="AC103" s="64">
        <f t="shared" si="276"/>
        <v>817</v>
      </c>
      <c r="AD103" s="64">
        <f t="shared" si="276"/>
        <v>824</v>
      </c>
      <c r="AE103" s="64">
        <f t="shared" si="276"/>
        <v>831</v>
      </c>
      <c r="AF103" s="64">
        <f t="shared" si="276"/>
        <v>867</v>
      </c>
      <c r="AG103" s="64">
        <f t="shared" si="276"/>
        <v>1032</v>
      </c>
      <c r="AH103" s="64">
        <f t="shared" si="276"/>
        <v>1010</v>
      </c>
      <c r="AI103" s="64">
        <f t="shared" si="276"/>
        <v>814</v>
      </c>
      <c r="AJ103" s="64">
        <f t="shared" si="276"/>
        <v>955</v>
      </c>
      <c r="AK103" s="64">
        <f t="shared" si="276"/>
        <v>1186</v>
      </c>
      <c r="AL103" s="64">
        <f t="shared" si="276"/>
        <v>1040</v>
      </c>
      <c r="AM103" s="64">
        <f t="shared" si="276"/>
        <v>972</v>
      </c>
      <c r="AN103" s="64">
        <f t="shared" si="276"/>
        <v>1010</v>
      </c>
      <c r="AO103" s="64">
        <f t="shared" si="276"/>
        <v>1303</v>
      </c>
      <c r="AP103" s="64">
        <f t="shared" si="276"/>
        <v>1249</v>
      </c>
      <c r="AQ103" s="64">
        <f t="shared" si="276"/>
        <v>1273</v>
      </c>
      <c r="AR103" s="64">
        <f t="shared" si="276"/>
        <v>1335</v>
      </c>
      <c r="AS103" s="64">
        <f t="shared" si="276"/>
        <v>1695</v>
      </c>
      <c r="AT103" s="64">
        <f t="shared" si="276"/>
        <v>1722</v>
      </c>
      <c r="AU103" s="64">
        <f t="shared" ref="AU103:AZ103" si="277">+AU476</f>
        <v>1784</v>
      </c>
      <c r="AV103" s="64">
        <f t="shared" si="277"/>
        <v>1830</v>
      </c>
      <c r="AW103" s="64">
        <f t="shared" si="277"/>
        <v>2548</v>
      </c>
      <c r="AX103" s="64">
        <f t="shared" si="277"/>
        <v>2379</v>
      </c>
      <c r="AY103" s="64">
        <f t="shared" si="277"/>
        <v>2406</v>
      </c>
      <c r="AZ103" s="64">
        <f t="shared" si="277"/>
        <v>2498</v>
      </c>
      <c r="BA103" s="64">
        <f t="shared" ref="BA103:BI103" si="278">+BA476</f>
        <v>3351</v>
      </c>
      <c r="BB103" s="64">
        <f t="shared" si="278"/>
        <v>3134</v>
      </c>
      <c r="BC103" s="64">
        <f t="shared" si="278"/>
        <v>3008</v>
      </c>
      <c r="BD103" s="64">
        <f t="shared" si="278"/>
        <v>3051</v>
      </c>
      <c r="BE103" s="64">
        <f t="shared" si="278"/>
        <v>4060</v>
      </c>
      <c r="BF103" s="64">
        <f t="shared" si="278"/>
        <v>3492</v>
      </c>
      <c r="BG103" s="64">
        <f t="shared" si="278"/>
        <v>3424</v>
      </c>
      <c r="BH103" s="64">
        <f t="shared" si="278"/>
        <v>3562</v>
      </c>
      <c r="BI103" s="64">
        <f t="shared" si="278"/>
        <v>4616</v>
      </c>
      <c r="BJ103" s="64">
        <f t="shared" ref="BJ103" si="279">+BJ476</f>
        <v>4250</v>
      </c>
      <c r="BK103" s="79">
        <v>0</v>
      </c>
      <c r="BL103" s="79">
        <v>0</v>
      </c>
      <c r="BM103" s="79">
        <v>0</v>
      </c>
      <c r="BN103" s="79">
        <v>0</v>
      </c>
      <c r="BO103" s="79">
        <v>0</v>
      </c>
      <c r="BS103" s="64">
        <f t="shared" ref="BS103:CA103" si="280">+BS476</f>
        <v>27</v>
      </c>
      <c r="BT103" s="64">
        <f t="shared" si="280"/>
        <v>20</v>
      </c>
      <c r="BU103" s="64">
        <f t="shared" si="280"/>
        <v>217</v>
      </c>
      <c r="BV103" s="64">
        <f t="shared" si="280"/>
        <v>1572</v>
      </c>
      <c r="BW103" s="64">
        <f t="shared" si="280"/>
        <v>906</v>
      </c>
      <c r="BX103" s="64">
        <f t="shared" si="280"/>
        <v>1837</v>
      </c>
      <c r="BY103" s="64">
        <f t="shared" si="280"/>
        <v>2969</v>
      </c>
      <c r="BZ103" s="64">
        <f t="shared" si="280"/>
        <v>3218</v>
      </c>
      <c r="CA103" s="64">
        <f t="shared" si="280"/>
        <v>3723</v>
      </c>
      <c r="CB103" s="64">
        <f>SUM(AJ103:AM103)</f>
        <v>4153</v>
      </c>
      <c r="CC103" s="64">
        <f>+SUM(AN103:AQ103)</f>
        <v>4835</v>
      </c>
      <c r="CD103" s="64">
        <f>+SUM(AR103:AU103)</f>
        <v>6536</v>
      </c>
      <c r="CE103" s="64">
        <f>+SUM(AV103:AY103)</f>
        <v>9163</v>
      </c>
      <c r="CF103" s="64">
        <f>+SUM(AZ103:BC103)</f>
        <v>11991</v>
      </c>
      <c r="CG103" s="64">
        <f>+SUM(BD103:BG103)</f>
        <v>14027</v>
      </c>
      <c r="CH103" s="64">
        <f>+SUM(BH103:BK103)</f>
        <v>12428</v>
      </c>
      <c r="CI103" s="64">
        <f>+SUM(BL103:BO103)</f>
        <v>0</v>
      </c>
    </row>
    <row r="104" spans="2:90" x14ac:dyDescent="0.2">
      <c r="B104" t="s">
        <v>32</v>
      </c>
      <c r="H104" s="64">
        <f t="shared" ref="H104:AM104" si="281">+-H572-H98</f>
        <v>-23.399999999999991</v>
      </c>
      <c r="I104" s="64">
        <f t="shared" si="281"/>
        <v>6.8000000000000114</v>
      </c>
      <c r="J104" s="64">
        <f t="shared" si="281"/>
        <v>72.8</v>
      </c>
      <c r="K104" s="64">
        <f t="shared" si="281"/>
        <v>86</v>
      </c>
      <c r="L104" s="64">
        <f t="shared" si="281"/>
        <v>-97.6</v>
      </c>
      <c r="M104" s="64">
        <f t="shared" si="281"/>
        <v>-8</v>
      </c>
      <c r="N104" s="64">
        <f t="shared" si="281"/>
        <v>72.400000000000006</v>
      </c>
      <c r="O104" s="64">
        <f t="shared" si="281"/>
        <v>232</v>
      </c>
      <c r="P104" s="64">
        <f t="shared" si="281"/>
        <v>61.600000000000009</v>
      </c>
      <c r="Q104" s="64">
        <f t="shared" si="281"/>
        <v>519</v>
      </c>
      <c r="R104" s="64">
        <f t="shared" si="281"/>
        <v>102.20000000000002</v>
      </c>
      <c r="S104" s="64">
        <f t="shared" si="281"/>
        <v>208.20000000000002</v>
      </c>
      <c r="T104" s="64">
        <f t="shared" si="281"/>
        <v>178</v>
      </c>
      <c r="U104" s="64">
        <f t="shared" si="281"/>
        <v>255.2</v>
      </c>
      <c r="V104" s="64">
        <f t="shared" si="281"/>
        <v>225.2</v>
      </c>
      <c r="W104" s="64">
        <f t="shared" si="281"/>
        <v>145.80000000000001</v>
      </c>
      <c r="X104" s="64">
        <f t="shared" si="281"/>
        <v>67.400000000000006</v>
      </c>
      <c r="Y104" s="64">
        <f t="shared" si="281"/>
        <v>214.60000000000002</v>
      </c>
      <c r="Z104" s="64">
        <f t="shared" si="281"/>
        <v>246.40000000000003</v>
      </c>
      <c r="AA104" s="64">
        <f t="shared" si="281"/>
        <v>440.40000000000003</v>
      </c>
      <c r="AB104" s="64">
        <f t="shared" si="281"/>
        <v>243.20000000000005</v>
      </c>
      <c r="AC104" s="64">
        <f t="shared" si="281"/>
        <v>313.80000000000007</v>
      </c>
      <c r="AD104" s="64">
        <f t="shared" si="281"/>
        <v>275.80000000000007</v>
      </c>
      <c r="AE104" s="64">
        <f t="shared" si="281"/>
        <v>460.6</v>
      </c>
      <c r="AF104" s="64">
        <f t="shared" si="281"/>
        <v>17.600000000000023</v>
      </c>
      <c r="AG104" s="64">
        <f t="shared" si="281"/>
        <v>202.60000000000002</v>
      </c>
      <c r="AH104" s="64">
        <f t="shared" si="281"/>
        <v>613.20000000000005</v>
      </c>
      <c r="AI104" s="64">
        <f t="shared" si="281"/>
        <v>1168.2</v>
      </c>
      <c r="AJ104" s="64">
        <f t="shared" si="281"/>
        <v>386</v>
      </c>
      <c r="AK104" s="64">
        <f t="shared" si="281"/>
        <v>-371.39999999999986</v>
      </c>
      <c r="AL104" s="64">
        <f t="shared" si="281"/>
        <v>735.40000000000009</v>
      </c>
      <c r="AM104" s="64">
        <f t="shared" si="281"/>
        <v>560.20000000000005</v>
      </c>
      <c r="AN104" s="64">
        <f t="shared" ref="AN104:BJ104" si="282">+-AN572-AN98</f>
        <v>614.40000000000009</v>
      </c>
      <c r="AO104" s="64">
        <f t="shared" si="282"/>
        <v>352.40000000000009</v>
      </c>
      <c r="AP104" s="64">
        <f t="shared" si="282"/>
        <v>633.80000000000018</v>
      </c>
      <c r="AQ104" s="64">
        <f t="shared" si="282"/>
        <v>-710.19999999999982</v>
      </c>
      <c r="AR104" s="64">
        <f t="shared" si="282"/>
        <v>963.2</v>
      </c>
      <c r="AS104" s="64">
        <f t="shared" si="282"/>
        <v>185.20000000000005</v>
      </c>
      <c r="AT104" s="64">
        <f t="shared" si="282"/>
        <v>-245.39999999999986</v>
      </c>
      <c r="AU104" s="64">
        <f t="shared" si="282"/>
        <v>1504</v>
      </c>
      <c r="AV104" s="64">
        <f t="shared" si="282"/>
        <v>-606.40000000000009</v>
      </c>
      <c r="AW104" s="64">
        <f t="shared" si="282"/>
        <v>-884.39999999999964</v>
      </c>
      <c r="AX104" s="64">
        <f t="shared" si="282"/>
        <v>488.80000000000018</v>
      </c>
      <c r="AY104" s="64">
        <f t="shared" si="282"/>
        <v>1934.4</v>
      </c>
      <c r="AZ104" s="64">
        <f t="shared" si="282"/>
        <v>1279.6000000000001</v>
      </c>
      <c r="BA104" s="64">
        <f t="shared" si="282"/>
        <v>-501.79999999999995</v>
      </c>
      <c r="BB104" s="64">
        <f t="shared" si="282"/>
        <v>-808.2</v>
      </c>
      <c r="BC104" s="64">
        <f t="shared" si="282"/>
        <v>309.40000000000009</v>
      </c>
      <c r="BD104" s="64">
        <f t="shared" si="282"/>
        <v>1285.2</v>
      </c>
      <c r="BE104" s="64">
        <f t="shared" si="282"/>
        <v>1286.5999999999999</v>
      </c>
      <c r="BF104" s="64">
        <f t="shared" si="282"/>
        <v>2371</v>
      </c>
      <c r="BG104" s="64">
        <f t="shared" si="282"/>
        <v>-999.79999999999973</v>
      </c>
      <c r="BH104" s="64">
        <f t="shared" si="282"/>
        <v>2255.8000000000002</v>
      </c>
      <c r="BI104" s="64">
        <f t="shared" si="282"/>
        <v>-2627.7999999999997</v>
      </c>
      <c r="BJ104" s="64">
        <f t="shared" si="282"/>
        <v>1797.4</v>
      </c>
      <c r="BK104" s="79">
        <v>0</v>
      </c>
      <c r="BL104" s="79">
        <v>0</v>
      </c>
      <c r="BM104" s="79">
        <v>0</v>
      </c>
      <c r="BN104" s="79">
        <v>0</v>
      </c>
      <c r="BO104" s="79">
        <v>0</v>
      </c>
      <c r="BS104" s="64">
        <f t="shared" ref="BS104:CA104" si="283">+-BS572-BS98</f>
        <v>8.8000000000000043</v>
      </c>
      <c r="BT104" s="64">
        <f t="shared" si="283"/>
        <v>-59.399999999999977</v>
      </c>
      <c r="BU104" s="64">
        <f t="shared" si="283"/>
        <v>142.20000000000005</v>
      </c>
      <c r="BV104" s="64">
        <f t="shared" si="283"/>
        <v>45.800000000000011</v>
      </c>
      <c r="BW104" s="64">
        <f t="shared" si="283"/>
        <v>891</v>
      </c>
      <c r="BX104" s="64">
        <f t="shared" si="283"/>
        <v>804.2</v>
      </c>
      <c r="BY104" s="64">
        <f t="shared" si="283"/>
        <v>968.80000000000018</v>
      </c>
      <c r="BZ104" s="64">
        <f t="shared" si="283"/>
        <v>1293.4000000000001</v>
      </c>
      <c r="CA104" s="64">
        <f t="shared" si="283"/>
        <v>2001.6000000000004</v>
      </c>
      <c r="CB104" s="64">
        <f>SUM(AJ104:AM104)</f>
        <v>1310.2000000000003</v>
      </c>
      <c r="CC104" s="64">
        <f>+SUM(AN104:AQ104)</f>
        <v>890.40000000000055</v>
      </c>
      <c r="CD104" s="64">
        <f>+SUM(AR104:AU104)</f>
        <v>2407</v>
      </c>
      <c r="CE104" s="64">
        <f>+SUM(AV104:AY104)</f>
        <v>932.40000000000055</v>
      </c>
      <c r="CF104" s="64">
        <f>+SUM(AZ104:BC104)</f>
        <v>279.00000000000023</v>
      </c>
      <c r="CG104" s="64">
        <f>+SUM(BD104:BG104)</f>
        <v>3943.0000000000005</v>
      </c>
      <c r="CH104" s="64">
        <f>+SUM(BH104:BK104)</f>
        <v>1425.4000000000005</v>
      </c>
      <c r="CI104" s="64">
        <f>+SUM(BL104:BO104)</f>
        <v>0</v>
      </c>
    </row>
    <row r="105" spans="2:90" ht="13.5" x14ac:dyDescent="0.35">
      <c r="B105" t="s">
        <v>33</v>
      </c>
      <c r="H105" s="65">
        <f t="shared" ref="H105:AW105" si="284">+H106-H104-H99-H103</f>
        <v>-8</v>
      </c>
      <c r="I105" s="65">
        <f t="shared" si="284"/>
        <v>-333</v>
      </c>
      <c r="J105" s="65">
        <f t="shared" si="284"/>
        <v>22</v>
      </c>
      <c r="K105" s="65">
        <f t="shared" si="284"/>
        <v>-171</v>
      </c>
      <c r="L105" s="65">
        <f t="shared" si="284"/>
        <v>20</v>
      </c>
      <c r="M105" s="65">
        <f t="shared" si="284"/>
        <v>-232</v>
      </c>
      <c r="N105" s="65">
        <f t="shared" si="284"/>
        <v>-475</v>
      </c>
      <c r="O105" s="65">
        <f t="shared" si="284"/>
        <v>-363</v>
      </c>
      <c r="P105" s="65">
        <f t="shared" si="284"/>
        <v>-28</v>
      </c>
      <c r="Q105" s="65">
        <f t="shared" si="284"/>
        <v>-87</v>
      </c>
      <c r="R105" s="65">
        <f t="shared" si="284"/>
        <v>-246</v>
      </c>
      <c r="S105" s="65">
        <f t="shared" si="284"/>
        <v>-433</v>
      </c>
      <c r="T105" s="65">
        <f t="shared" si="284"/>
        <v>-291</v>
      </c>
      <c r="U105" s="65">
        <f t="shared" si="284"/>
        <v>-594</v>
      </c>
      <c r="V105" s="65">
        <f t="shared" si="284"/>
        <v>-688</v>
      </c>
      <c r="W105" s="65">
        <f t="shared" si="284"/>
        <v>1085.9999999999998</v>
      </c>
      <c r="X105" s="65">
        <f t="shared" si="284"/>
        <v>-273.00000000000011</v>
      </c>
      <c r="Y105" s="65">
        <f t="shared" si="284"/>
        <v>-574.99999999999989</v>
      </c>
      <c r="Z105" s="65">
        <f t="shared" si="284"/>
        <v>-443</v>
      </c>
      <c r="AA105" s="65">
        <f t="shared" si="284"/>
        <v>773</v>
      </c>
      <c r="AB105" s="65">
        <f t="shared" si="284"/>
        <v>283.00000000000023</v>
      </c>
      <c r="AC105" s="65">
        <f t="shared" si="284"/>
        <v>-254</v>
      </c>
      <c r="AD105" s="65">
        <f t="shared" si="284"/>
        <v>-186</v>
      </c>
      <c r="AE105" s="65">
        <f t="shared" si="284"/>
        <v>-602</v>
      </c>
      <c r="AF105" s="65">
        <f t="shared" si="284"/>
        <v>776</v>
      </c>
      <c r="AG105" s="65">
        <f t="shared" si="284"/>
        <v>-194</v>
      </c>
      <c r="AH105" s="65">
        <f t="shared" si="284"/>
        <v>-457</v>
      </c>
      <c r="AI105" s="65">
        <f t="shared" si="284"/>
        <v>-1133</v>
      </c>
      <c r="AJ105" s="65">
        <f t="shared" si="284"/>
        <v>1082</v>
      </c>
      <c r="AK105" s="65">
        <f t="shared" si="284"/>
        <v>-244</v>
      </c>
      <c r="AL105" s="65">
        <f t="shared" si="284"/>
        <v>-114</v>
      </c>
      <c r="AM105" s="65">
        <f t="shared" si="284"/>
        <v>-1516</v>
      </c>
      <c r="AN105" s="65">
        <f t="shared" si="284"/>
        <v>1143.0000000000005</v>
      </c>
      <c r="AO105" s="65">
        <f t="shared" si="284"/>
        <v>-7.9999999999995453</v>
      </c>
      <c r="AP105" s="65">
        <f t="shared" si="284"/>
        <v>145</v>
      </c>
      <c r="AQ105" s="65">
        <f t="shared" si="284"/>
        <v>-723</v>
      </c>
      <c r="AR105" s="65">
        <f t="shared" si="284"/>
        <v>2417</v>
      </c>
      <c r="AS105" s="65">
        <f t="shared" si="284"/>
        <v>-4611</v>
      </c>
      <c r="AT105" s="65">
        <f t="shared" si="284"/>
        <v>147</v>
      </c>
      <c r="AU105" s="65">
        <f t="shared" si="284"/>
        <v>-1555</v>
      </c>
      <c r="AV105" s="65">
        <f t="shared" si="284"/>
        <v>-156</v>
      </c>
      <c r="AW105" s="65">
        <f t="shared" si="284"/>
        <v>-413</v>
      </c>
      <c r="AX105" s="65">
        <f t="shared" ref="AX105:BI105" si="285">+AX106-AX104-AX99-AX103</f>
        <v>773.00000000000091</v>
      </c>
      <c r="AY105" s="65">
        <f t="shared" si="285"/>
        <v>1588</v>
      </c>
      <c r="AZ105" s="65">
        <f t="shared" si="285"/>
        <v>1016</v>
      </c>
      <c r="BA105" s="65">
        <f t="shared" si="285"/>
        <v>820</v>
      </c>
      <c r="BB105" s="65">
        <f t="shared" si="285"/>
        <v>399</v>
      </c>
      <c r="BC105" s="65">
        <f t="shared" si="285"/>
        <v>540.00000000000045</v>
      </c>
      <c r="BD105" s="65">
        <f t="shared" si="285"/>
        <v>377</v>
      </c>
      <c r="BE105" s="65">
        <f t="shared" si="285"/>
        <v>-215</v>
      </c>
      <c r="BF105" s="65">
        <f t="shared" si="285"/>
        <v>161</v>
      </c>
      <c r="BG105" s="65">
        <f t="shared" si="285"/>
        <v>-557</v>
      </c>
      <c r="BH105" s="65">
        <f t="shared" si="285"/>
        <v>-1489</v>
      </c>
      <c r="BI105" s="65">
        <f t="shared" si="285"/>
        <v>540</v>
      </c>
      <c r="BJ105" s="65">
        <f t="shared" ref="BJ105" si="286">+BJ106-BJ104-BJ99-BJ103</f>
        <v>392</v>
      </c>
      <c r="BK105" s="71">
        <v>0</v>
      </c>
      <c r="BL105" s="71">
        <v>0</v>
      </c>
      <c r="BM105" s="71">
        <v>0</v>
      </c>
      <c r="BN105" s="71">
        <v>0</v>
      </c>
      <c r="BO105" s="71">
        <v>0</v>
      </c>
      <c r="BS105" s="65">
        <f t="shared" ref="BS105:CA105" si="287">+BS106-BS104-BS99-BS103</f>
        <v>-162</v>
      </c>
      <c r="BT105" s="65">
        <f t="shared" si="287"/>
        <v>-208</v>
      </c>
      <c r="BU105" s="65">
        <f t="shared" si="287"/>
        <v>-490</v>
      </c>
      <c r="BV105" s="65">
        <f t="shared" si="287"/>
        <v>-1050</v>
      </c>
      <c r="BW105" s="65">
        <f t="shared" si="287"/>
        <v>-794</v>
      </c>
      <c r="BX105" s="65">
        <f t="shared" si="287"/>
        <v>-487</v>
      </c>
      <c r="BY105" s="65">
        <f t="shared" si="287"/>
        <v>-518</v>
      </c>
      <c r="BZ105" s="65">
        <f t="shared" si="287"/>
        <v>-759</v>
      </c>
      <c r="CA105" s="65">
        <f t="shared" si="287"/>
        <v>-1008</v>
      </c>
      <c r="CB105" s="65">
        <f>SUM(AJ105:AM105)</f>
        <v>-792</v>
      </c>
      <c r="CC105" s="65">
        <f>+SUM(AN105:AQ105)</f>
        <v>557.00000000000091</v>
      </c>
      <c r="CD105" s="65">
        <f>+SUM(AR105:AU105)</f>
        <v>-3602</v>
      </c>
      <c r="CE105" s="65">
        <f>+SUM(AV105:AY105)</f>
        <v>1792.0000000000009</v>
      </c>
      <c r="CF105" s="65">
        <f>+SUM(AZ105:BC105)</f>
        <v>2775.0000000000005</v>
      </c>
      <c r="CG105" s="65">
        <f>+SUM(BD105:BG105)</f>
        <v>-234</v>
      </c>
      <c r="CH105" s="65">
        <f>+SUM(BH105:BK105)</f>
        <v>-557</v>
      </c>
      <c r="CI105" s="65">
        <f>+SUM(BL105:BO105)</f>
        <v>0</v>
      </c>
    </row>
    <row r="106" spans="2:90" s="44" customFormat="1" x14ac:dyDescent="0.2">
      <c r="B106" s="110" t="s">
        <v>34</v>
      </c>
      <c r="H106" s="111">
        <f t="shared" ref="H106:AM106" si="288">+H539+H90</f>
        <v>192</v>
      </c>
      <c r="I106" s="111">
        <f t="shared" si="288"/>
        <v>-3</v>
      </c>
      <c r="J106" s="111">
        <f t="shared" si="288"/>
        <v>429</v>
      </c>
      <c r="K106" s="111">
        <f t="shared" si="288"/>
        <v>325</v>
      </c>
      <c r="L106" s="111">
        <f t="shared" si="288"/>
        <v>-12</v>
      </c>
      <c r="M106" s="111">
        <f t="shared" si="288"/>
        <v>-173</v>
      </c>
      <c r="N106" s="111">
        <f t="shared" si="288"/>
        <v>79</v>
      </c>
      <c r="O106" s="111">
        <f t="shared" si="288"/>
        <v>483</v>
      </c>
      <c r="P106" s="111">
        <f t="shared" si="288"/>
        <v>392</v>
      </c>
      <c r="Q106" s="111">
        <f t="shared" si="288"/>
        <v>1054</v>
      </c>
      <c r="R106" s="111">
        <f t="shared" si="288"/>
        <v>666</v>
      </c>
      <c r="S106" s="111">
        <f t="shared" si="288"/>
        <v>748</v>
      </c>
      <c r="T106" s="111">
        <f t="shared" si="288"/>
        <v>922</v>
      </c>
      <c r="U106" s="111">
        <f t="shared" si="288"/>
        <v>872</v>
      </c>
      <c r="V106" s="111">
        <f t="shared" si="288"/>
        <v>766</v>
      </c>
      <c r="W106" s="111">
        <f t="shared" si="288"/>
        <v>2935</v>
      </c>
      <c r="X106" s="111">
        <f t="shared" si="288"/>
        <v>1198</v>
      </c>
      <c r="Y106" s="111">
        <f t="shared" si="288"/>
        <v>1331</v>
      </c>
      <c r="Z106" s="111">
        <f t="shared" si="288"/>
        <v>1412</v>
      </c>
      <c r="AA106" s="111">
        <f t="shared" si="288"/>
        <v>3856</v>
      </c>
      <c r="AB106" s="111">
        <f t="shared" si="288"/>
        <v>2345</v>
      </c>
      <c r="AC106" s="111">
        <f t="shared" si="288"/>
        <v>2670</v>
      </c>
      <c r="AD106" s="111">
        <f t="shared" si="288"/>
        <v>2941</v>
      </c>
      <c r="AE106" s="111">
        <f t="shared" si="288"/>
        <v>3661</v>
      </c>
      <c r="AF106" s="111">
        <f t="shared" si="288"/>
        <v>3787</v>
      </c>
      <c r="AG106" s="111">
        <f t="shared" si="288"/>
        <v>3916</v>
      </c>
      <c r="AH106" s="111">
        <f t="shared" si="288"/>
        <v>4372</v>
      </c>
      <c r="AI106" s="111">
        <f t="shared" si="288"/>
        <v>5408</v>
      </c>
      <c r="AJ106" s="111">
        <f t="shared" si="288"/>
        <v>5048</v>
      </c>
      <c r="AK106" s="111">
        <f t="shared" si="288"/>
        <v>2840</v>
      </c>
      <c r="AL106" s="111">
        <f t="shared" si="288"/>
        <v>4156</v>
      </c>
      <c r="AM106" s="111">
        <f t="shared" si="288"/>
        <v>3317</v>
      </c>
      <c r="AN106" s="111">
        <f t="shared" ref="AN106:BJ106" si="289">+AN539+AN90</f>
        <v>5346</v>
      </c>
      <c r="AO106" s="111">
        <f t="shared" si="289"/>
        <v>4840</v>
      </c>
      <c r="AP106" s="111">
        <f t="shared" si="289"/>
        <v>5631</v>
      </c>
      <c r="AQ106" s="111">
        <f t="shared" si="289"/>
        <v>4842</v>
      </c>
      <c r="AR106" s="111">
        <f t="shared" si="289"/>
        <v>7343</v>
      </c>
      <c r="AS106" s="111">
        <f t="shared" si="289"/>
        <v>514</v>
      </c>
      <c r="AT106" s="111">
        <f t="shared" si="289"/>
        <v>5950</v>
      </c>
      <c r="AU106" s="111">
        <f t="shared" si="289"/>
        <v>9222</v>
      </c>
      <c r="AV106" s="111">
        <f t="shared" si="289"/>
        <v>7819</v>
      </c>
      <c r="AW106" s="111">
        <f t="shared" si="289"/>
        <v>8511</v>
      </c>
      <c r="AX106" s="111">
        <f t="shared" si="289"/>
        <v>9547</v>
      </c>
      <c r="AY106" s="111">
        <f t="shared" si="289"/>
        <v>12562</v>
      </c>
      <c r="AZ106" s="111">
        <f t="shared" si="289"/>
        <v>8528</v>
      </c>
      <c r="BA106" s="111">
        <f t="shared" si="289"/>
        <v>4450</v>
      </c>
      <c r="BB106" s="111">
        <f t="shared" si="289"/>
        <v>173</v>
      </c>
      <c r="BC106" s="111">
        <f t="shared" si="289"/>
        <v>5288</v>
      </c>
      <c r="BD106" s="111">
        <f t="shared" si="289"/>
        <v>6911</v>
      </c>
      <c r="BE106" s="111">
        <f t="shared" si="289"/>
        <v>10955</v>
      </c>
      <c r="BF106" s="111">
        <f t="shared" si="289"/>
        <v>13639</v>
      </c>
      <c r="BG106" s="111">
        <f t="shared" si="289"/>
        <v>11505</v>
      </c>
      <c r="BH106" s="111">
        <f t="shared" si="289"/>
        <v>12531</v>
      </c>
      <c r="BI106" s="111">
        <f t="shared" si="289"/>
        <v>10898</v>
      </c>
      <c r="BJ106" s="111">
        <f t="shared" si="289"/>
        <v>15522</v>
      </c>
      <c r="BK106" s="111">
        <f>+BK99+SUM(BK103:BK105)</f>
        <v>7051.0922798850042</v>
      </c>
      <c r="BL106" s="111">
        <f t="shared" ref="BL106:BO106" si="290">+BL99+SUM(BL103:BL105)</f>
        <v>6984.1970032585559</v>
      </c>
      <c r="BM106" s="111">
        <f t="shared" si="290"/>
        <v>8434.7043607372543</v>
      </c>
      <c r="BN106" s="111">
        <f t="shared" si="290"/>
        <v>8800.2181044786266</v>
      </c>
      <c r="BO106" s="111">
        <f t="shared" si="290"/>
        <v>9600.8603547175189</v>
      </c>
      <c r="BS106" s="111">
        <f t="shared" ref="BS106:CA106" si="291">+BS539+BS90</f>
        <v>122</v>
      </c>
      <c r="BT106" s="111">
        <f t="shared" si="291"/>
        <v>405</v>
      </c>
      <c r="BU106" s="111">
        <f t="shared" si="291"/>
        <v>943</v>
      </c>
      <c r="BV106" s="111">
        <f t="shared" si="291"/>
        <v>377</v>
      </c>
      <c r="BW106" s="111">
        <f t="shared" si="291"/>
        <v>2860</v>
      </c>
      <c r="BX106" s="111">
        <f t="shared" si="291"/>
        <v>5495</v>
      </c>
      <c r="BY106" s="111">
        <f t="shared" si="291"/>
        <v>7797</v>
      </c>
      <c r="BZ106" s="111">
        <f t="shared" si="291"/>
        <v>11617</v>
      </c>
      <c r="CA106" s="111">
        <f t="shared" si="291"/>
        <v>17483</v>
      </c>
      <c r="CB106" s="111">
        <f>SUM(AJ106:AM106)</f>
        <v>15361</v>
      </c>
      <c r="CC106" s="111">
        <f>+SUM(AN106:AQ106)</f>
        <v>20659</v>
      </c>
      <c r="CD106" s="111">
        <f>+SUM(AR106:AU106)</f>
        <v>23029</v>
      </c>
      <c r="CE106" s="111">
        <f>+SUM(AV106:AY106)</f>
        <v>38439</v>
      </c>
      <c r="CF106" s="111">
        <f>+SUM(AZ106:BC106)</f>
        <v>18439</v>
      </c>
      <c r="CG106" s="111">
        <f>+SUM(BD106:BG106)</f>
        <v>43010</v>
      </c>
      <c r="CH106" s="111">
        <f>+SUM(BH106:BK106)</f>
        <v>46002.092279885008</v>
      </c>
      <c r="CI106" s="111">
        <f>+SUM(BL106:BO106)</f>
        <v>33819.979823191956</v>
      </c>
      <c r="CK106" s="111">
        <f>+SUM(BF106:BI106)</f>
        <v>48573</v>
      </c>
      <c r="CL106" s="111"/>
    </row>
    <row r="107" spans="2:90" x14ac:dyDescent="0.2">
      <c r="B107" s="101" t="s">
        <v>17</v>
      </c>
      <c r="H107" s="106"/>
      <c r="I107" s="106"/>
      <c r="J107" s="106"/>
      <c r="K107" s="106"/>
      <c r="L107" s="106">
        <f t="shared" ref="L107:BJ107" si="292">+L106/H106-1</f>
        <v>-1.0625</v>
      </c>
      <c r="M107" s="106">
        <f t="shared" si="292"/>
        <v>56.666666666666664</v>
      </c>
      <c r="N107" s="106">
        <f t="shared" si="292"/>
        <v>-0.81585081585081587</v>
      </c>
      <c r="O107" s="106">
        <f t="shared" si="292"/>
        <v>0.48615384615384616</v>
      </c>
      <c r="P107" s="106">
        <f t="shared" si="292"/>
        <v>-33.666666666666664</v>
      </c>
      <c r="Q107" s="106">
        <f t="shared" si="292"/>
        <v>-7.0924855491329479</v>
      </c>
      <c r="R107" s="106">
        <f t="shared" si="292"/>
        <v>7.4303797468354436</v>
      </c>
      <c r="S107" s="106">
        <f t="shared" si="292"/>
        <v>0.54865424430641818</v>
      </c>
      <c r="T107" s="106">
        <f t="shared" si="292"/>
        <v>1.3520408163265305</v>
      </c>
      <c r="U107" s="106">
        <f t="shared" si="292"/>
        <v>-0.17267552182163193</v>
      </c>
      <c r="V107" s="106">
        <f t="shared" si="292"/>
        <v>0.1501501501501501</v>
      </c>
      <c r="W107" s="106">
        <f t="shared" si="292"/>
        <v>2.9237967914438503</v>
      </c>
      <c r="X107" s="106">
        <f t="shared" si="292"/>
        <v>0.29934924078091107</v>
      </c>
      <c r="Y107" s="106">
        <f t="shared" si="292"/>
        <v>0.52637614678899092</v>
      </c>
      <c r="Z107" s="106">
        <f t="shared" si="292"/>
        <v>0.84334203655352491</v>
      </c>
      <c r="AA107" s="106">
        <f t="shared" si="292"/>
        <v>0.31379897785349242</v>
      </c>
      <c r="AB107" s="106">
        <f t="shared" si="292"/>
        <v>0.95742904841402332</v>
      </c>
      <c r="AC107" s="106">
        <f t="shared" si="292"/>
        <v>1.0060105184072126</v>
      </c>
      <c r="AD107" s="106">
        <f t="shared" si="292"/>
        <v>1.0828611898016995</v>
      </c>
      <c r="AE107" s="106">
        <f t="shared" si="292"/>
        <v>-5.0570539419087179E-2</v>
      </c>
      <c r="AF107" s="106">
        <f t="shared" si="292"/>
        <v>0.61492537313432827</v>
      </c>
      <c r="AG107" s="106">
        <f t="shared" si="292"/>
        <v>0.46666666666666656</v>
      </c>
      <c r="AH107" s="106">
        <f t="shared" si="292"/>
        <v>0.48656919415164901</v>
      </c>
      <c r="AI107" s="106">
        <f t="shared" si="292"/>
        <v>0.47719202403714833</v>
      </c>
      <c r="AJ107" s="106">
        <f t="shared" si="292"/>
        <v>0.33298125165038295</v>
      </c>
      <c r="AK107" s="106">
        <f t="shared" si="292"/>
        <v>-0.27477017364657819</v>
      </c>
      <c r="AL107" s="106">
        <f t="shared" si="292"/>
        <v>-4.9405306495882928E-2</v>
      </c>
      <c r="AM107" s="106">
        <f t="shared" si="292"/>
        <v>-0.38664940828402372</v>
      </c>
      <c r="AN107" s="106">
        <f t="shared" si="292"/>
        <v>5.9033280507131636E-2</v>
      </c>
      <c r="AO107" s="106">
        <f t="shared" si="292"/>
        <v>0.70422535211267601</v>
      </c>
      <c r="AP107" s="106">
        <f t="shared" si="292"/>
        <v>0.35490856592877762</v>
      </c>
      <c r="AQ107" s="106">
        <f t="shared" si="292"/>
        <v>0.4597527886644559</v>
      </c>
      <c r="AR107" s="106">
        <f t="shared" si="292"/>
        <v>0.37355031799476235</v>
      </c>
      <c r="AS107" s="106">
        <f t="shared" si="292"/>
        <v>-0.89380165289256197</v>
      </c>
      <c r="AT107" s="106">
        <f t="shared" si="292"/>
        <v>5.6650683715148364E-2</v>
      </c>
      <c r="AU107" s="106">
        <f t="shared" si="292"/>
        <v>0.90458488228004952</v>
      </c>
      <c r="AV107" s="106">
        <f t="shared" si="292"/>
        <v>6.4823641563393819E-2</v>
      </c>
      <c r="AW107" s="106">
        <f t="shared" si="292"/>
        <v>15.558365758754864</v>
      </c>
      <c r="AX107" s="106">
        <f t="shared" si="292"/>
        <v>0.60453781512605032</v>
      </c>
      <c r="AY107" s="106">
        <f t="shared" si="292"/>
        <v>0.36217740186510516</v>
      </c>
      <c r="AZ107" s="106">
        <f t="shared" si="292"/>
        <v>9.0676557104488964E-2</v>
      </c>
      <c r="BA107" s="106">
        <f t="shared" si="292"/>
        <v>-0.47714722124309716</v>
      </c>
      <c r="BB107" s="106">
        <f t="shared" si="292"/>
        <v>-0.981879124332251</v>
      </c>
      <c r="BC107" s="106">
        <f t="shared" si="292"/>
        <v>-0.57904792230536539</v>
      </c>
      <c r="BD107" s="106">
        <f t="shared" si="292"/>
        <v>-0.18961069418386489</v>
      </c>
      <c r="BE107" s="106">
        <f t="shared" si="292"/>
        <v>1.4617977528089887</v>
      </c>
      <c r="BF107" s="106">
        <f t="shared" si="292"/>
        <v>77.838150289017335</v>
      </c>
      <c r="BG107" s="106">
        <f t="shared" si="292"/>
        <v>1.1756807866868382</v>
      </c>
      <c r="BH107" s="106">
        <f t="shared" si="292"/>
        <v>0.81319635363912601</v>
      </c>
      <c r="BI107" s="106">
        <f t="shared" si="292"/>
        <v>-5.2031036056595648E-3</v>
      </c>
      <c r="BJ107" s="106">
        <f t="shared" si="292"/>
        <v>0.13805997507148615</v>
      </c>
      <c r="BK107" s="106">
        <f>+BK106/BG106-1</f>
        <v>-0.38712800696349381</v>
      </c>
      <c r="BL107" s="106">
        <f t="shared" ref="BL107:BO107" si="293">+BL106/BH106-1</f>
        <v>-0.44264647647765099</v>
      </c>
      <c r="BM107" s="106">
        <f t="shared" si="293"/>
        <v>-0.22603189936343782</v>
      </c>
      <c r="BN107" s="106">
        <f t="shared" si="293"/>
        <v>-0.43304869833277759</v>
      </c>
      <c r="BO107" s="106">
        <f t="shared" si="293"/>
        <v>0.3616132045394389</v>
      </c>
      <c r="BP107" s="106"/>
      <c r="BQ107" s="106"/>
      <c r="BR107" s="106"/>
      <c r="BS107" s="106"/>
      <c r="BT107" s="106"/>
      <c r="BU107" s="106"/>
      <c r="BV107" s="106">
        <f t="shared" ref="BV107:CI107" si="294">+BV106/BU106-1</f>
        <v>-0.60021208907741253</v>
      </c>
      <c r="BW107" s="106">
        <f t="shared" si="294"/>
        <v>6.5862068965517242</v>
      </c>
      <c r="BX107" s="106">
        <f t="shared" si="294"/>
        <v>0.92132867132867124</v>
      </c>
      <c r="BY107" s="106">
        <f t="shared" si="294"/>
        <v>0.41892629663330294</v>
      </c>
      <c r="BZ107" s="106">
        <f t="shared" si="294"/>
        <v>0.48993202513787359</v>
      </c>
      <c r="CA107" s="106">
        <f t="shared" si="294"/>
        <v>0.50494964276491339</v>
      </c>
      <c r="CB107" s="106">
        <f t="shared" si="294"/>
        <v>-0.1213750500486187</v>
      </c>
      <c r="CC107" s="106">
        <f t="shared" si="294"/>
        <v>0.34489942061063728</v>
      </c>
      <c r="CD107" s="106">
        <f t="shared" si="294"/>
        <v>0.11471997676557422</v>
      </c>
      <c r="CE107" s="106">
        <f t="shared" si="294"/>
        <v>0.66915628121064752</v>
      </c>
      <c r="CF107" s="106">
        <f t="shared" si="294"/>
        <v>-0.52030489867062091</v>
      </c>
      <c r="CG107" s="106">
        <f t="shared" si="294"/>
        <v>1.3325559954444386</v>
      </c>
      <c r="CH107" s="106">
        <f t="shared" si="294"/>
        <v>6.9567362936177712E-2</v>
      </c>
      <c r="CI107" s="106">
        <f t="shared" si="294"/>
        <v>-0.26481648666271285</v>
      </c>
    </row>
    <row r="108" spans="2:90" x14ac:dyDescent="0.2">
      <c r="H108" s="49"/>
      <c r="I108" s="49"/>
      <c r="J108" s="49"/>
      <c r="K108" s="49"/>
      <c r="L108" s="49"/>
      <c r="AB108" s="49"/>
      <c r="AC108" s="49"/>
      <c r="AD108" s="49"/>
      <c r="AW108" s="105"/>
      <c r="BU108" s="49"/>
      <c r="CF108" s="56"/>
      <c r="CG108" s="56"/>
      <c r="CH108" s="56"/>
      <c r="CI108" s="56"/>
    </row>
    <row r="109" spans="2:90" x14ac:dyDescent="0.2">
      <c r="B109" s="62" t="s">
        <v>19</v>
      </c>
      <c r="H109" s="49"/>
      <c r="I109" s="49"/>
      <c r="J109" s="49"/>
      <c r="K109" s="49"/>
      <c r="L109" s="49"/>
      <c r="AB109" s="49"/>
      <c r="AC109" s="49"/>
      <c r="AD109" s="49"/>
      <c r="AW109" s="105"/>
      <c r="BU109" s="49"/>
      <c r="CF109" s="56"/>
      <c r="CG109" s="56"/>
      <c r="CH109" s="56"/>
      <c r="CI109" s="56"/>
    </row>
    <row r="110" spans="2:90" x14ac:dyDescent="0.2">
      <c r="B110" s="60" t="s">
        <v>309</v>
      </c>
      <c r="H110" s="49"/>
      <c r="I110" s="49"/>
      <c r="J110" s="49"/>
      <c r="K110" s="49"/>
      <c r="L110" s="49"/>
      <c r="AB110" s="49"/>
      <c r="AC110" s="49"/>
      <c r="AD110" s="49"/>
      <c r="AJ110" s="95">
        <f>+AJ546</f>
        <v>-49</v>
      </c>
      <c r="AK110" s="95">
        <f t="shared" ref="AK110:AX110" si="295">+AK546</f>
        <v>-16</v>
      </c>
      <c r="AL110" s="95">
        <f t="shared" si="295"/>
        <v>-72</v>
      </c>
      <c r="AM110" s="95">
        <f t="shared" si="295"/>
        <v>0</v>
      </c>
      <c r="AN110" s="95">
        <f t="shared" si="295"/>
        <v>0</v>
      </c>
      <c r="AO110" s="95">
        <f t="shared" si="295"/>
        <v>0</v>
      </c>
      <c r="AP110" s="95">
        <f t="shared" si="295"/>
        <v>0</v>
      </c>
      <c r="AQ110" s="95">
        <f t="shared" si="295"/>
        <v>-445</v>
      </c>
      <c r="AR110" s="95">
        <f t="shared" si="295"/>
        <v>-33</v>
      </c>
      <c r="AS110" s="95">
        <f t="shared" si="295"/>
        <v>-339</v>
      </c>
      <c r="AT110" s="95">
        <f t="shared" si="295"/>
        <v>-12</v>
      </c>
      <c r="AU110" s="95">
        <f t="shared" si="295"/>
        <v>-5</v>
      </c>
      <c r="AV110" s="95">
        <f t="shared" si="295"/>
        <v>0</v>
      </c>
      <c r="AW110" s="95">
        <f t="shared" si="295"/>
        <v>-259</v>
      </c>
      <c r="AX110" s="95">
        <f t="shared" si="295"/>
        <v>-71</v>
      </c>
      <c r="AY110" s="95">
        <f t="shared" ref="AY110:BI110" si="296">+AY546</f>
        <v>-521</v>
      </c>
      <c r="AZ110" s="95">
        <f t="shared" si="296"/>
        <v>-853</v>
      </c>
      <c r="BA110" s="95">
        <f t="shared" si="296"/>
        <v>-363</v>
      </c>
      <c r="BB110" s="95">
        <f t="shared" si="296"/>
        <v>-34</v>
      </c>
      <c r="BC110" s="95">
        <f t="shared" si="296"/>
        <v>-62</v>
      </c>
      <c r="BD110" s="95">
        <f t="shared" si="296"/>
        <v>-444</v>
      </c>
      <c r="BE110" s="95">
        <f t="shared" si="296"/>
        <v>-83</v>
      </c>
      <c r="BF110" s="95">
        <f t="shared" si="296"/>
        <v>-38</v>
      </c>
      <c r="BG110" s="95">
        <f t="shared" si="296"/>
        <v>-64</v>
      </c>
      <c r="BH110" s="95">
        <f t="shared" si="296"/>
        <v>-72</v>
      </c>
      <c r="BI110" s="95">
        <f t="shared" si="296"/>
        <v>-57</v>
      </c>
      <c r="BJ110" s="95">
        <f t="shared" ref="BJ110" si="297">+BJ546</f>
        <v>-132</v>
      </c>
      <c r="BK110" s="144">
        <v>0</v>
      </c>
      <c r="BL110" s="144">
        <v>0</v>
      </c>
      <c r="BM110" s="144">
        <v>0</v>
      </c>
      <c r="BN110" s="144">
        <v>0</v>
      </c>
      <c r="BO110" s="144">
        <v>0</v>
      </c>
      <c r="BS110" s="95">
        <f>+BS546</f>
        <v>3</v>
      </c>
      <c r="BT110" s="95">
        <f t="shared" ref="BT110:CD110" si="298">+BT546</f>
        <v>-22</v>
      </c>
      <c r="BU110" s="95">
        <f t="shared" si="298"/>
        <v>-24</v>
      </c>
      <c r="BV110" s="95">
        <f t="shared" si="298"/>
        <v>-911</v>
      </c>
      <c r="BW110" s="95">
        <f t="shared" si="298"/>
        <v>-368</v>
      </c>
      <c r="BX110" s="95">
        <f t="shared" si="298"/>
        <v>-4975</v>
      </c>
      <c r="BY110" s="95">
        <f t="shared" si="298"/>
        <v>-313</v>
      </c>
      <c r="BZ110" s="95">
        <f t="shared" si="298"/>
        <v>-123</v>
      </c>
      <c r="CA110" s="95">
        <f t="shared" si="298"/>
        <v>-122</v>
      </c>
      <c r="CB110" s="95">
        <f t="shared" si="298"/>
        <v>-137</v>
      </c>
      <c r="CC110" s="95">
        <f t="shared" si="298"/>
        <v>-445</v>
      </c>
      <c r="CD110" s="95">
        <f t="shared" si="298"/>
        <v>-389</v>
      </c>
      <c r="CE110" s="95">
        <f>+SUM(AV110:AY110)</f>
        <v>-851</v>
      </c>
      <c r="CF110" s="95">
        <f>+SUM(AZ110:BC110)</f>
        <v>-1312</v>
      </c>
      <c r="CG110" s="95">
        <f>+SUM(BD110:BG110)</f>
        <v>-629</v>
      </c>
      <c r="CH110" s="95">
        <f>+SUM(BH110:BK110)</f>
        <v>-261</v>
      </c>
      <c r="CI110" s="95">
        <f>+SUM(BL110:BO110)</f>
        <v>0</v>
      </c>
    </row>
    <row r="111" spans="2:90" x14ac:dyDescent="0.2">
      <c r="B111" s="60" t="s">
        <v>310</v>
      </c>
      <c r="H111" s="49"/>
      <c r="I111" s="49"/>
      <c r="J111" s="49"/>
      <c r="K111" s="49"/>
      <c r="L111" s="49"/>
      <c r="AB111" s="49"/>
      <c r="AC111" s="49"/>
      <c r="AD111" s="49"/>
      <c r="AJ111" s="95">
        <f>+AJ545</f>
        <v>0</v>
      </c>
      <c r="AK111" s="95">
        <f t="shared" ref="AK111:AX111" si="299">+AK545</f>
        <v>0</v>
      </c>
      <c r="AL111" s="95">
        <f t="shared" si="299"/>
        <v>0</v>
      </c>
      <c r="AM111" s="95">
        <f t="shared" si="299"/>
        <v>0</v>
      </c>
      <c r="AN111" s="95">
        <f t="shared" si="299"/>
        <v>0</v>
      </c>
      <c r="AO111" s="95">
        <f t="shared" si="299"/>
        <v>0</v>
      </c>
      <c r="AP111" s="95">
        <f t="shared" si="299"/>
        <v>0</v>
      </c>
      <c r="AQ111" s="95">
        <f t="shared" si="299"/>
        <v>0</v>
      </c>
      <c r="AR111" s="95">
        <f t="shared" si="299"/>
        <v>0</v>
      </c>
      <c r="AS111" s="95">
        <f t="shared" si="299"/>
        <v>0</v>
      </c>
      <c r="AT111" s="95">
        <f t="shared" si="299"/>
        <v>-6020</v>
      </c>
      <c r="AU111" s="95">
        <f t="shared" si="299"/>
        <v>-59</v>
      </c>
      <c r="AV111" s="95">
        <f t="shared" si="299"/>
        <v>0</v>
      </c>
      <c r="AW111" s="95">
        <f t="shared" si="299"/>
        <v>0</v>
      </c>
      <c r="AX111" s="95">
        <f t="shared" si="299"/>
        <v>-27</v>
      </c>
      <c r="AY111" s="95">
        <f t="shared" ref="AY111:BI111" si="300">+AY545</f>
        <v>-2</v>
      </c>
      <c r="AZ111" s="95">
        <f t="shared" si="300"/>
        <v>0</v>
      </c>
      <c r="BA111" s="95">
        <f t="shared" si="300"/>
        <v>0</v>
      </c>
      <c r="BB111" s="95">
        <f t="shared" si="300"/>
        <v>0</v>
      </c>
      <c r="BC111" s="95">
        <f t="shared" si="300"/>
        <v>0</v>
      </c>
      <c r="BD111" s="95">
        <f t="shared" si="300"/>
        <v>0</v>
      </c>
      <c r="BE111" s="95">
        <f t="shared" si="300"/>
        <v>0</v>
      </c>
      <c r="BF111" s="95">
        <f t="shared" si="300"/>
        <v>0</v>
      </c>
      <c r="BG111" s="95">
        <f t="shared" si="300"/>
        <v>0</v>
      </c>
      <c r="BH111" s="95">
        <f t="shared" si="300"/>
        <v>0</v>
      </c>
      <c r="BI111" s="95">
        <f t="shared" si="300"/>
        <v>0</v>
      </c>
      <c r="BJ111" s="95">
        <f t="shared" ref="BJ111" si="301">+BJ545</f>
        <v>0</v>
      </c>
      <c r="BK111" s="144">
        <v>0</v>
      </c>
      <c r="BL111" s="144">
        <v>0</v>
      </c>
      <c r="BM111" s="144">
        <v>0</v>
      </c>
      <c r="BN111" s="144">
        <v>0</v>
      </c>
      <c r="BO111" s="144">
        <v>0</v>
      </c>
      <c r="BS111" s="95">
        <f>+BS545</f>
        <v>0</v>
      </c>
      <c r="BT111" s="95">
        <f t="shared" ref="BT111:CD111" si="302">+BT545</f>
        <v>0</v>
      </c>
      <c r="BU111" s="95">
        <f t="shared" si="302"/>
        <v>0</v>
      </c>
      <c r="BV111" s="95">
        <f t="shared" si="302"/>
        <v>0</v>
      </c>
      <c r="BW111" s="95">
        <f t="shared" si="302"/>
        <v>0</v>
      </c>
      <c r="BX111" s="95">
        <f t="shared" si="302"/>
        <v>0</v>
      </c>
      <c r="BY111" s="95">
        <f t="shared" si="302"/>
        <v>0</v>
      </c>
      <c r="BZ111" s="95">
        <f t="shared" si="302"/>
        <v>0</v>
      </c>
      <c r="CA111" s="95">
        <f t="shared" si="302"/>
        <v>0</v>
      </c>
      <c r="CB111" s="95">
        <f t="shared" si="302"/>
        <v>0</v>
      </c>
      <c r="CC111" s="95">
        <f t="shared" si="302"/>
        <v>0</v>
      </c>
      <c r="CD111" s="95">
        <f t="shared" si="302"/>
        <v>-6079</v>
      </c>
      <c r="CE111" s="95">
        <f>+SUM(AV111:AY111)</f>
        <v>-29</v>
      </c>
      <c r="CF111" s="95">
        <f>+SUM(AZ111:BC111)</f>
        <v>0</v>
      </c>
      <c r="CG111" s="95">
        <f>+SUM(BD111:BG111)</f>
        <v>0</v>
      </c>
      <c r="CH111" s="95">
        <f>+SUM(BH111:BK111)</f>
        <v>0</v>
      </c>
      <c r="CI111" s="95">
        <f>+SUM(BL111:BO111)</f>
        <v>0</v>
      </c>
    </row>
    <row r="112" spans="2:90" s="76" customFormat="1" x14ac:dyDescent="0.2">
      <c r="B112" s="60" t="s">
        <v>308</v>
      </c>
      <c r="H112" s="100">
        <f t="shared" ref="H112:AI112" si="303">+SUM(H556:H558)</f>
        <v>1007</v>
      </c>
      <c r="I112" s="100">
        <f t="shared" si="303"/>
        <v>15</v>
      </c>
      <c r="J112" s="100">
        <f t="shared" si="303"/>
        <v>3</v>
      </c>
      <c r="K112" s="100">
        <f t="shared" si="303"/>
        <v>1</v>
      </c>
      <c r="L112" s="100">
        <f t="shared" si="303"/>
        <v>5</v>
      </c>
      <c r="M112" s="100">
        <f t="shared" si="303"/>
        <v>6765</v>
      </c>
      <c r="N112" s="100">
        <f t="shared" si="303"/>
        <v>-1</v>
      </c>
      <c r="O112" s="100">
        <f t="shared" si="303"/>
        <v>8</v>
      </c>
      <c r="P112" s="100">
        <f t="shared" si="303"/>
        <v>8</v>
      </c>
      <c r="Q112" s="100">
        <f t="shared" si="303"/>
        <v>2</v>
      </c>
      <c r="R112" s="100">
        <f t="shared" si="303"/>
        <v>10</v>
      </c>
      <c r="S112" s="100">
        <f t="shared" si="303"/>
        <v>1484</v>
      </c>
      <c r="T112" s="100">
        <f t="shared" si="303"/>
        <v>1</v>
      </c>
      <c r="U112" s="100">
        <f t="shared" si="303"/>
        <v>1</v>
      </c>
      <c r="V112" s="100">
        <f t="shared" si="303"/>
        <v>5</v>
      </c>
      <c r="W112" s="100">
        <f t="shared" si="303"/>
        <v>-7</v>
      </c>
      <c r="X112" s="100">
        <f t="shared" si="303"/>
        <v>0</v>
      </c>
      <c r="Y112" s="100">
        <f t="shared" si="303"/>
        <v>0</v>
      </c>
      <c r="Z112" s="100">
        <f t="shared" si="303"/>
        <v>0</v>
      </c>
      <c r="AA112" s="100">
        <f t="shared" si="303"/>
        <v>0</v>
      </c>
      <c r="AB112" s="100">
        <f t="shared" si="303"/>
        <v>0</v>
      </c>
      <c r="AC112" s="100">
        <f t="shared" si="303"/>
        <v>0</v>
      </c>
      <c r="AD112" s="100">
        <f t="shared" si="303"/>
        <v>0</v>
      </c>
      <c r="AE112" s="100">
        <f t="shared" si="303"/>
        <v>0</v>
      </c>
      <c r="AF112" s="100">
        <f t="shared" si="303"/>
        <v>-228</v>
      </c>
      <c r="AG112" s="100">
        <f t="shared" si="303"/>
        <v>-150</v>
      </c>
      <c r="AH112" s="100">
        <f t="shared" si="303"/>
        <v>-640</v>
      </c>
      <c r="AI112" s="100">
        <f t="shared" si="303"/>
        <v>-958</v>
      </c>
      <c r="AJ112" s="100">
        <f>+SUM(AJ556:AJ558)</f>
        <v>-1774</v>
      </c>
      <c r="AK112" s="100">
        <f t="shared" ref="AK112:AX112" si="304">+SUM(AK556:AK558)</f>
        <v>-3349</v>
      </c>
      <c r="AL112" s="100">
        <f t="shared" si="304"/>
        <v>-4256</v>
      </c>
      <c r="AM112" s="100">
        <f t="shared" si="304"/>
        <v>-3500</v>
      </c>
      <c r="AN112" s="100">
        <f t="shared" si="304"/>
        <v>-613</v>
      </c>
      <c r="AO112" s="100">
        <f t="shared" si="304"/>
        <v>-1144</v>
      </c>
      <c r="AP112" s="100">
        <f t="shared" si="304"/>
        <v>-1148</v>
      </c>
      <c r="AQ112" s="100">
        <f t="shared" si="304"/>
        <v>-1296</v>
      </c>
      <c r="AR112" s="100">
        <f t="shared" si="304"/>
        <v>-1250</v>
      </c>
      <c r="AS112" s="100">
        <f t="shared" si="304"/>
        <v>-1369</v>
      </c>
      <c r="AT112" s="100">
        <f t="shared" si="304"/>
        <v>-1725</v>
      </c>
      <c r="AU112" s="100">
        <f t="shared" si="304"/>
        <v>-1928</v>
      </c>
      <c r="AV112" s="100">
        <f t="shared" si="304"/>
        <v>-3939</v>
      </c>
      <c r="AW112" s="100">
        <f t="shared" si="304"/>
        <v>-7079</v>
      </c>
      <c r="AX112" s="100">
        <f t="shared" si="304"/>
        <v>-13457</v>
      </c>
      <c r="AY112" s="100">
        <f t="shared" ref="AY112:BI112" si="305">+SUM(AY556:AY558)</f>
        <v>-20063</v>
      </c>
      <c r="AZ112" s="100">
        <f t="shared" si="305"/>
        <v>-9506</v>
      </c>
      <c r="BA112" s="100">
        <f t="shared" si="305"/>
        <v>-5233</v>
      </c>
      <c r="BB112" s="100">
        <f t="shared" si="305"/>
        <v>-6354</v>
      </c>
      <c r="BC112" s="100">
        <f t="shared" si="305"/>
        <v>-6863</v>
      </c>
      <c r="BD112" s="100">
        <f t="shared" si="305"/>
        <v>-9365</v>
      </c>
      <c r="BE112" s="100">
        <f t="shared" si="305"/>
        <v>-898</v>
      </c>
      <c r="BF112" s="100">
        <f t="shared" si="305"/>
        <v>-3570</v>
      </c>
      <c r="BG112" s="100">
        <f t="shared" si="305"/>
        <v>-5942</v>
      </c>
      <c r="BH112" s="100">
        <f t="shared" si="305"/>
        <v>-15008</v>
      </c>
      <c r="BI112" s="100">
        <f t="shared" si="305"/>
        <v>-6299</v>
      </c>
      <c r="BJ112" s="100">
        <f t="shared" ref="BJ112" si="306">+SUM(BJ556:BJ558)</f>
        <v>-8818</v>
      </c>
      <c r="BK112" s="144">
        <v>0</v>
      </c>
      <c r="BL112" s="144">
        <v>0</v>
      </c>
      <c r="BM112" s="144">
        <v>0</v>
      </c>
      <c r="BN112" s="144">
        <v>0</v>
      </c>
      <c r="BO112" s="144">
        <v>0</v>
      </c>
      <c r="BS112" s="100">
        <f t="shared" ref="BS112:CD112" si="307">+SUM(BS556:BS558)</f>
        <v>9</v>
      </c>
      <c r="BT112" s="100">
        <f t="shared" si="307"/>
        <v>506</v>
      </c>
      <c r="BU112" s="100">
        <f t="shared" si="307"/>
        <v>1026</v>
      </c>
      <c r="BV112" s="100">
        <f t="shared" si="307"/>
        <v>6777</v>
      </c>
      <c r="BW112" s="100">
        <f t="shared" si="307"/>
        <v>1504</v>
      </c>
      <c r="BX112" s="100">
        <f t="shared" si="307"/>
        <v>0</v>
      </c>
      <c r="BY112" s="100">
        <f t="shared" si="307"/>
        <v>0</v>
      </c>
      <c r="BZ112" s="100">
        <f t="shared" si="307"/>
        <v>0</v>
      </c>
      <c r="CA112" s="100">
        <f t="shared" si="307"/>
        <v>-1976</v>
      </c>
      <c r="CB112" s="100">
        <f t="shared" si="307"/>
        <v>-12879</v>
      </c>
      <c r="CC112" s="100">
        <f t="shared" si="307"/>
        <v>-4201</v>
      </c>
      <c r="CD112" s="100">
        <f t="shared" si="307"/>
        <v>-6272</v>
      </c>
      <c r="CE112" s="95">
        <f>+SUM(AV112:AY112)</f>
        <v>-44538</v>
      </c>
      <c r="CF112" s="95">
        <f>+SUM(AZ112:BC112)</f>
        <v>-27956</v>
      </c>
      <c r="CG112" s="95">
        <f>+SUM(BD112:BG112)</f>
        <v>-19775</v>
      </c>
      <c r="CH112" s="95">
        <f>+SUM(BH112:BK112)</f>
        <v>-30125</v>
      </c>
      <c r="CI112" s="95">
        <f>+SUM(BL112:BO112)</f>
        <v>0</v>
      </c>
    </row>
    <row r="113" spans="2:87" s="76" customFormat="1" x14ac:dyDescent="0.2">
      <c r="B113" s="60" t="s">
        <v>432</v>
      </c>
      <c r="H113" s="100"/>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f>+AN559</f>
        <v>0</v>
      </c>
      <c r="AO113" s="100">
        <f t="shared" ref="AO113:BH113" si="308">+AO559</f>
        <v>0</v>
      </c>
      <c r="AP113" s="100">
        <f t="shared" si="308"/>
        <v>0</v>
      </c>
      <c r="AQ113" s="100">
        <f t="shared" si="308"/>
        <v>0</v>
      </c>
      <c r="AR113" s="100">
        <f t="shared" si="308"/>
        <v>0</v>
      </c>
      <c r="AS113" s="100">
        <f t="shared" si="308"/>
        <v>0</v>
      </c>
      <c r="AT113" s="100">
        <f t="shared" si="308"/>
        <v>0</v>
      </c>
      <c r="AU113" s="100">
        <f t="shared" si="308"/>
        <v>0</v>
      </c>
      <c r="AV113" s="100">
        <f t="shared" si="308"/>
        <v>0</v>
      </c>
      <c r="AW113" s="100">
        <f t="shared" si="308"/>
        <v>0</v>
      </c>
      <c r="AX113" s="100">
        <f t="shared" si="308"/>
        <v>0</v>
      </c>
      <c r="AY113" s="100">
        <f t="shared" si="308"/>
        <v>0</v>
      </c>
      <c r="AZ113" s="100">
        <f t="shared" si="308"/>
        <v>0</v>
      </c>
      <c r="BA113" s="100">
        <f t="shared" si="308"/>
        <v>0</v>
      </c>
      <c r="BB113" s="100">
        <f t="shared" si="308"/>
        <v>0</v>
      </c>
      <c r="BC113" s="100">
        <f t="shared" si="308"/>
        <v>0</v>
      </c>
      <c r="BD113" s="100">
        <f t="shared" si="308"/>
        <v>0</v>
      </c>
      <c r="BE113" s="100">
        <f t="shared" si="308"/>
        <v>0</v>
      </c>
      <c r="BF113" s="100">
        <f t="shared" si="308"/>
        <v>0</v>
      </c>
      <c r="BG113" s="100">
        <f t="shared" si="308"/>
        <v>0</v>
      </c>
      <c r="BH113" s="100">
        <f t="shared" si="308"/>
        <v>-1273</v>
      </c>
      <c r="BI113" s="100">
        <f>+BI559</f>
        <v>-1266</v>
      </c>
      <c r="BJ113" s="100">
        <f>+BJ559</f>
        <v>-1263</v>
      </c>
      <c r="BK113" s="144">
        <v>0</v>
      </c>
      <c r="BL113" s="144">
        <v>0</v>
      </c>
      <c r="BM113" s="144">
        <v>0</v>
      </c>
      <c r="BN113" s="144">
        <v>0</v>
      </c>
      <c r="BO113" s="144">
        <v>0</v>
      </c>
      <c r="BS113" s="100">
        <f t="shared" ref="BS113:CG113" si="309">+BS559</f>
        <v>0</v>
      </c>
      <c r="BT113" s="100">
        <f t="shared" si="309"/>
        <v>0</v>
      </c>
      <c r="BU113" s="100">
        <f t="shared" si="309"/>
        <v>0</v>
      </c>
      <c r="BV113" s="100">
        <f t="shared" si="309"/>
        <v>0</v>
      </c>
      <c r="BW113" s="100">
        <f t="shared" si="309"/>
        <v>0</v>
      </c>
      <c r="BX113" s="100">
        <f t="shared" si="309"/>
        <v>0</v>
      </c>
      <c r="BY113" s="100">
        <f t="shared" si="309"/>
        <v>0</v>
      </c>
      <c r="BZ113" s="100">
        <f t="shared" si="309"/>
        <v>0</v>
      </c>
      <c r="CA113" s="100">
        <f t="shared" si="309"/>
        <v>0</v>
      </c>
      <c r="CB113" s="100">
        <f t="shared" si="309"/>
        <v>0</v>
      </c>
      <c r="CC113" s="100">
        <f t="shared" si="309"/>
        <v>0</v>
      </c>
      <c r="CD113" s="100">
        <f t="shared" si="309"/>
        <v>0</v>
      </c>
      <c r="CE113" s="100">
        <f t="shared" si="309"/>
        <v>0</v>
      </c>
      <c r="CF113" s="100">
        <f t="shared" si="309"/>
        <v>0</v>
      </c>
      <c r="CG113" s="100">
        <f t="shared" si="309"/>
        <v>0</v>
      </c>
      <c r="CH113" s="95">
        <f>+SUM(BH113:BK113)</f>
        <v>-3802</v>
      </c>
      <c r="CI113" s="95">
        <f>+SUM(BL113:BO113)</f>
        <v>0</v>
      </c>
    </row>
    <row r="114" spans="2:87" s="76" customFormat="1" x14ac:dyDescent="0.2">
      <c r="B114" s="60" t="s">
        <v>311</v>
      </c>
      <c r="H114" s="100"/>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f>+AJ551</f>
        <v>-832</v>
      </c>
      <c r="AK114" s="100">
        <f t="shared" ref="AK114:AX114" si="310">+AK551</f>
        <v>-927</v>
      </c>
      <c r="AL114" s="100">
        <f t="shared" si="310"/>
        <v>-905</v>
      </c>
      <c r="AM114" s="100">
        <f t="shared" si="310"/>
        <v>-545</v>
      </c>
      <c r="AN114" s="100">
        <f t="shared" si="310"/>
        <v>-512</v>
      </c>
      <c r="AO114" s="100">
        <f t="shared" si="310"/>
        <v>-606</v>
      </c>
      <c r="AP114" s="100">
        <f t="shared" si="310"/>
        <v>-591</v>
      </c>
      <c r="AQ114" s="100">
        <f t="shared" si="310"/>
        <v>-627</v>
      </c>
      <c r="AR114" s="100">
        <f t="shared" si="310"/>
        <v>-690</v>
      </c>
      <c r="AS114" s="100">
        <f t="shared" si="310"/>
        <v>-753</v>
      </c>
      <c r="AT114" s="100">
        <f t="shared" si="310"/>
        <v>-1000</v>
      </c>
      <c r="AU114" s="100">
        <f t="shared" si="310"/>
        <v>-1121</v>
      </c>
      <c r="AV114" s="100">
        <f t="shared" si="310"/>
        <v>-1077</v>
      </c>
      <c r="AW114" s="100">
        <f t="shared" si="310"/>
        <v>-1354</v>
      </c>
      <c r="AX114" s="100">
        <f t="shared" si="310"/>
        <v>-1576</v>
      </c>
      <c r="AY114" s="100">
        <f t="shared" ref="AY114:BI114" si="311">+AY551</f>
        <v>-1507</v>
      </c>
      <c r="AZ114" s="100">
        <f t="shared" si="311"/>
        <v>-925</v>
      </c>
      <c r="BA114" s="100">
        <f t="shared" si="311"/>
        <v>-1002</v>
      </c>
      <c r="BB114" s="100">
        <f t="shared" si="311"/>
        <v>-1011</v>
      </c>
      <c r="BC114" s="100">
        <f t="shared" si="311"/>
        <v>-656</v>
      </c>
      <c r="BD114" s="100">
        <f t="shared" si="311"/>
        <v>-1009</v>
      </c>
      <c r="BE114" s="100">
        <f t="shared" si="311"/>
        <v>-1692</v>
      </c>
      <c r="BF114" s="100">
        <f t="shared" si="311"/>
        <v>-2087</v>
      </c>
      <c r="BG114" s="100">
        <f t="shared" si="311"/>
        <v>-2223</v>
      </c>
      <c r="BH114" s="100">
        <f t="shared" si="311"/>
        <v>-3162</v>
      </c>
      <c r="BI114" s="100">
        <f t="shared" si="311"/>
        <v>-3208</v>
      </c>
      <c r="BJ114" s="100">
        <f t="shared" ref="BJ114" si="312">+BJ551</f>
        <v>-3544</v>
      </c>
      <c r="BK114" s="144">
        <v>0</v>
      </c>
      <c r="BL114" s="144">
        <v>0</v>
      </c>
      <c r="BM114" s="144">
        <v>0</v>
      </c>
      <c r="BN114" s="144">
        <v>0</v>
      </c>
      <c r="BO114" s="144">
        <v>0</v>
      </c>
      <c r="BS114" s="100">
        <f>+BS551</f>
        <v>0</v>
      </c>
      <c r="BT114" s="100">
        <f t="shared" ref="BT114:CD114" si="313">+BT551</f>
        <v>0</v>
      </c>
      <c r="BU114" s="100">
        <f t="shared" si="313"/>
        <v>0</v>
      </c>
      <c r="BV114" s="100">
        <f t="shared" si="313"/>
        <v>-2862</v>
      </c>
      <c r="BW114" s="100">
        <f t="shared" si="313"/>
        <v>-889</v>
      </c>
      <c r="BX114" s="100">
        <f t="shared" si="313"/>
        <v>0</v>
      </c>
      <c r="BY114" s="100">
        <f t="shared" si="313"/>
        <v>-20</v>
      </c>
      <c r="BZ114" s="100">
        <f t="shared" si="313"/>
        <v>-6</v>
      </c>
      <c r="CA114" s="100">
        <f t="shared" si="313"/>
        <v>-3246</v>
      </c>
      <c r="CB114" s="100">
        <f t="shared" si="313"/>
        <v>-3208</v>
      </c>
      <c r="CC114" s="100">
        <f t="shared" si="313"/>
        <v>-2336</v>
      </c>
      <c r="CD114" s="100">
        <f t="shared" si="313"/>
        <v>-3564</v>
      </c>
      <c r="CE114" s="95">
        <f>+SUM(AV114:AY114)</f>
        <v>-5514</v>
      </c>
      <c r="CF114" s="95">
        <f>+SUM(AZ114:BC114)</f>
        <v>-3594</v>
      </c>
      <c r="CG114" s="95">
        <f>+SUM(BD114:BG114)</f>
        <v>-7011</v>
      </c>
      <c r="CH114" s="95">
        <f>+SUM(BH114:BK114)</f>
        <v>-9914</v>
      </c>
      <c r="CI114" s="95">
        <f>+SUM(BL114:BO114)</f>
        <v>0</v>
      </c>
    </row>
    <row r="115" spans="2:87" x14ac:dyDescent="0.2">
      <c r="B115" s="66"/>
      <c r="H115" s="49"/>
      <c r="I115" s="49"/>
      <c r="J115" s="49"/>
      <c r="K115" s="49"/>
      <c r="L115" s="49"/>
      <c r="AB115" s="49"/>
      <c r="AC115" s="49"/>
      <c r="AD115" s="49"/>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U115" s="49"/>
    </row>
    <row r="116" spans="2:87" x14ac:dyDescent="0.2">
      <c r="B116" s="54" t="s">
        <v>115</v>
      </c>
      <c r="H116" s="49"/>
      <c r="I116" s="49"/>
      <c r="J116" s="49"/>
      <c r="K116" s="49"/>
      <c r="L116" s="49"/>
      <c r="AB116" s="49"/>
      <c r="AC116" s="49"/>
      <c r="AD116" s="49"/>
      <c r="BU116" s="49"/>
    </row>
    <row r="117" spans="2:87" x14ac:dyDescent="0.2">
      <c r="B117" t="s">
        <v>116</v>
      </c>
      <c r="H117" s="49"/>
      <c r="I117" s="49"/>
      <c r="J117" s="49"/>
      <c r="K117" s="49"/>
      <c r="L117" s="80">
        <f>+L595+L601+L602</f>
        <v>706</v>
      </c>
      <c r="M117" s="80">
        <f t="shared" ref="M117:AT117" si="314">+M595+M601+M602</f>
        <v>706</v>
      </c>
      <c r="N117" s="80">
        <f t="shared" si="314"/>
        <v>902</v>
      </c>
      <c r="O117" s="80">
        <f t="shared" si="314"/>
        <v>2356</v>
      </c>
      <c r="P117" s="80">
        <f t="shared" si="314"/>
        <v>2258</v>
      </c>
      <c r="Q117" s="80">
        <f t="shared" si="314"/>
        <v>2167</v>
      </c>
      <c r="R117" s="80">
        <f t="shared" si="314"/>
        <v>575</v>
      </c>
      <c r="S117" s="80">
        <f t="shared" si="314"/>
        <v>476</v>
      </c>
      <c r="T117" s="80">
        <f t="shared" si="314"/>
        <v>392</v>
      </c>
      <c r="U117" s="80">
        <f t="shared" si="314"/>
        <v>326</v>
      </c>
      <c r="V117" s="80">
        <f t="shared" si="314"/>
        <v>278</v>
      </c>
      <c r="W117" s="80">
        <f t="shared" si="314"/>
        <v>233</v>
      </c>
      <c r="X117" s="80">
        <f t="shared" si="314"/>
        <v>186</v>
      </c>
      <c r="Y117" s="80">
        <f t="shared" si="314"/>
        <v>149</v>
      </c>
      <c r="Z117" s="80">
        <f t="shared" si="314"/>
        <v>126</v>
      </c>
      <c r="AA117" s="80">
        <f t="shared" si="314"/>
        <v>114</v>
      </c>
      <c r="AB117" s="80">
        <f t="shared" si="314"/>
        <v>0</v>
      </c>
      <c r="AC117" s="80">
        <f t="shared" si="314"/>
        <v>0</v>
      </c>
      <c r="AD117" s="80">
        <f t="shared" si="314"/>
        <v>0</v>
      </c>
      <c r="AE117" s="80">
        <f t="shared" si="314"/>
        <v>0</v>
      </c>
      <c r="AF117" s="80">
        <f t="shared" si="314"/>
        <v>0</v>
      </c>
      <c r="AG117" s="80">
        <f t="shared" si="314"/>
        <v>0</v>
      </c>
      <c r="AH117" s="80">
        <f t="shared" si="314"/>
        <v>0</v>
      </c>
      <c r="AI117" s="80">
        <f t="shared" si="314"/>
        <v>0</v>
      </c>
      <c r="AJ117" s="80">
        <f t="shared" si="314"/>
        <v>0</v>
      </c>
      <c r="AK117" s="80">
        <f t="shared" si="314"/>
        <v>0</v>
      </c>
      <c r="AL117" s="80">
        <f t="shared" si="314"/>
        <v>0</v>
      </c>
      <c r="AM117" s="80">
        <f t="shared" si="314"/>
        <v>0</v>
      </c>
      <c r="AN117" s="80">
        <f t="shared" si="314"/>
        <v>0</v>
      </c>
      <c r="AO117" s="80">
        <f t="shared" si="314"/>
        <v>0</v>
      </c>
      <c r="AP117" s="80">
        <f t="shared" si="314"/>
        <v>0</v>
      </c>
      <c r="AQ117" s="80">
        <f t="shared" si="314"/>
        <v>0</v>
      </c>
      <c r="AR117" s="80">
        <f t="shared" si="314"/>
        <v>0</v>
      </c>
      <c r="AS117" s="80">
        <f t="shared" si="314"/>
        <v>0</v>
      </c>
      <c r="AT117" s="80">
        <f t="shared" si="314"/>
        <v>0</v>
      </c>
      <c r="AU117" s="80">
        <f t="shared" ref="AU117:AZ117" si="315">+AU595+AU601+AU602</f>
        <v>0</v>
      </c>
      <c r="AV117" s="80">
        <f t="shared" si="315"/>
        <v>0</v>
      </c>
      <c r="AW117" s="80">
        <f t="shared" si="315"/>
        <v>0</v>
      </c>
      <c r="AX117" s="80">
        <f t="shared" si="315"/>
        <v>0</v>
      </c>
      <c r="AY117" s="80">
        <f t="shared" si="315"/>
        <v>0</v>
      </c>
      <c r="AZ117" s="80">
        <f t="shared" si="315"/>
        <v>0</v>
      </c>
      <c r="BA117" s="80">
        <f t="shared" ref="BA117:BI117" si="316">+BA595+BA601+BA602</f>
        <v>0</v>
      </c>
      <c r="BB117" s="80">
        <f t="shared" si="316"/>
        <v>9922</v>
      </c>
      <c r="BC117" s="80">
        <f t="shared" si="316"/>
        <v>9923</v>
      </c>
      <c r="BD117" s="80">
        <f t="shared" si="316"/>
        <v>9925</v>
      </c>
      <c r="BE117" s="80">
        <f t="shared" si="316"/>
        <v>18382</v>
      </c>
      <c r="BF117" s="80">
        <f t="shared" si="316"/>
        <v>18383</v>
      </c>
      <c r="BG117" s="80">
        <f t="shared" si="316"/>
        <v>18385</v>
      </c>
      <c r="BH117" s="80">
        <f t="shared" si="316"/>
        <v>18387</v>
      </c>
      <c r="BI117" s="80">
        <f t="shared" si="316"/>
        <v>18389</v>
      </c>
      <c r="BJ117" s="80">
        <f t="shared" ref="BJ117" si="317">+BJ595+BJ601+BJ602</f>
        <v>28823</v>
      </c>
      <c r="BK117" s="79">
        <f>+BJ117</f>
        <v>28823</v>
      </c>
      <c r="BL117" s="79">
        <f t="shared" ref="BL117:BO117" si="318">+BK117</f>
        <v>28823</v>
      </c>
      <c r="BM117" s="79">
        <f t="shared" si="318"/>
        <v>28823</v>
      </c>
      <c r="BN117" s="79">
        <f t="shared" si="318"/>
        <v>28823</v>
      </c>
      <c r="BO117" s="79">
        <f t="shared" si="318"/>
        <v>28823</v>
      </c>
      <c r="BT117" s="80">
        <f>+BT595+BT601+BT602</f>
        <v>473</v>
      </c>
      <c r="BU117" s="80">
        <f>+BU595+BU601+BU602</f>
        <v>677</v>
      </c>
      <c r="BV117" s="64">
        <f>+O117</f>
        <v>2356</v>
      </c>
      <c r="BW117" s="64">
        <f>+R117</f>
        <v>575</v>
      </c>
      <c r="BX117" s="64">
        <f>+W117</f>
        <v>233</v>
      </c>
      <c r="BY117" s="64">
        <f>+AA117</f>
        <v>114</v>
      </c>
      <c r="BZ117" s="64">
        <f>+AE117</f>
        <v>0</v>
      </c>
      <c r="CA117" s="64">
        <f>+AI117</f>
        <v>0</v>
      </c>
      <c r="CB117" s="64">
        <f>AM117</f>
        <v>0</v>
      </c>
      <c r="CC117" s="64">
        <f>+AQ117</f>
        <v>0</v>
      </c>
      <c r="CD117" s="64">
        <f>+AU117</f>
        <v>0</v>
      </c>
      <c r="CE117" s="64">
        <f>+AY117</f>
        <v>0</v>
      </c>
      <c r="CF117" s="64">
        <f>+BC117</f>
        <v>9923</v>
      </c>
      <c r="CG117" s="64">
        <f>+BG117</f>
        <v>18385</v>
      </c>
      <c r="CH117" s="64">
        <f>+BK117</f>
        <v>28823</v>
      </c>
      <c r="CI117" s="64">
        <f>+BO117</f>
        <v>28823</v>
      </c>
    </row>
    <row r="118" spans="2:87" ht="13.5" x14ac:dyDescent="0.35">
      <c r="B118" t="s">
        <v>117</v>
      </c>
      <c r="H118" s="49"/>
      <c r="I118" s="49"/>
      <c r="J118" s="49"/>
      <c r="K118" s="49"/>
      <c r="L118" s="72">
        <f>+L577+L578</f>
        <v>3910</v>
      </c>
      <c r="M118" s="72">
        <f t="shared" ref="M118:AT118" si="319">+M577+M578</f>
        <v>10188</v>
      </c>
      <c r="N118" s="72">
        <f t="shared" si="319"/>
        <v>10452</v>
      </c>
      <c r="O118" s="72">
        <f t="shared" si="319"/>
        <v>9626</v>
      </c>
      <c r="P118" s="72">
        <f t="shared" si="319"/>
        <v>9472</v>
      </c>
      <c r="Q118" s="72">
        <f t="shared" si="319"/>
        <v>10252</v>
      </c>
      <c r="R118" s="72">
        <f t="shared" si="319"/>
        <v>9328</v>
      </c>
      <c r="S118" s="72">
        <f t="shared" si="319"/>
        <v>11449</v>
      </c>
      <c r="T118" s="72">
        <f t="shared" si="319"/>
        <v>12629</v>
      </c>
      <c r="U118" s="72">
        <f t="shared" si="319"/>
        <v>13956</v>
      </c>
      <c r="V118" s="72">
        <f t="shared" si="319"/>
        <v>14250</v>
      </c>
      <c r="W118" s="72">
        <f t="shared" si="319"/>
        <v>11199</v>
      </c>
      <c r="X118" s="72">
        <f t="shared" si="319"/>
        <v>12413</v>
      </c>
      <c r="Y118" s="72">
        <f t="shared" si="319"/>
        <v>14125</v>
      </c>
      <c r="Z118" s="72">
        <f t="shared" si="319"/>
        <v>15834</v>
      </c>
      <c r="AA118" s="72">
        <f t="shared" si="319"/>
        <v>18434</v>
      </c>
      <c r="AB118" s="72">
        <f t="shared" si="319"/>
        <v>20621</v>
      </c>
      <c r="AC118" s="72">
        <f t="shared" si="319"/>
        <v>23293</v>
      </c>
      <c r="AD118" s="72">
        <f t="shared" si="319"/>
        <v>26140</v>
      </c>
      <c r="AE118" s="72">
        <f t="shared" si="319"/>
        <v>29449</v>
      </c>
      <c r="AF118" s="72">
        <f t="shared" si="319"/>
        <v>32306</v>
      </c>
      <c r="AG118" s="72">
        <f t="shared" si="319"/>
        <v>35452</v>
      </c>
      <c r="AH118" s="72">
        <f t="shared" si="319"/>
        <v>38289</v>
      </c>
      <c r="AI118" s="72">
        <f t="shared" si="319"/>
        <v>41711</v>
      </c>
      <c r="AJ118" s="72">
        <f t="shared" si="319"/>
        <v>43956</v>
      </c>
      <c r="AK118" s="72">
        <f t="shared" si="319"/>
        <v>42309</v>
      </c>
      <c r="AL118" s="72">
        <f t="shared" si="319"/>
        <v>41206</v>
      </c>
      <c r="AM118" s="72">
        <f t="shared" si="319"/>
        <v>41114</v>
      </c>
      <c r="AN118" s="72">
        <f t="shared" si="319"/>
        <v>45243</v>
      </c>
      <c r="AO118" s="72">
        <f t="shared" si="319"/>
        <v>48596</v>
      </c>
      <c r="AP118" s="72">
        <f t="shared" si="319"/>
        <v>52269</v>
      </c>
      <c r="AQ118" s="72">
        <f t="shared" si="319"/>
        <v>54855</v>
      </c>
      <c r="AR118" s="72">
        <f t="shared" si="319"/>
        <v>60289</v>
      </c>
      <c r="AS118" s="72">
        <f t="shared" si="319"/>
        <v>58240</v>
      </c>
      <c r="AT118" s="72">
        <f t="shared" si="319"/>
        <v>55620</v>
      </c>
      <c r="AU118" s="72">
        <f t="shared" ref="AU118:AZ118" si="320">+AU577+AU578</f>
        <v>61954</v>
      </c>
      <c r="AV118" s="72">
        <f t="shared" si="320"/>
        <v>64219</v>
      </c>
      <c r="AW118" s="72">
        <f t="shared" si="320"/>
        <v>64080</v>
      </c>
      <c r="AX118" s="72">
        <f t="shared" si="320"/>
        <v>58075</v>
      </c>
      <c r="AY118" s="72">
        <f t="shared" si="320"/>
        <v>47998</v>
      </c>
      <c r="AZ118" s="72">
        <f t="shared" si="320"/>
        <v>43890</v>
      </c>
      <c r="BA118" s="72">
        <f t="shared" ref="BA118:BI118" si="321">+BA577+BA578</f>
        <v>40489</v>
      </c>
      <c r="BB118" s="72">
        <f t="shared" si="321"/>
        <v>41776</v>
      </c>
      <c r="BC118" s="72">
        <f t="shared" si="321"/>
        <v>40738</v>
      </c>
      <c r="BD118" s="72">
        <f t="shared" si="321"/>
        <v>37439</v>
      </c>
      <c r="BE118" s="72">
        <f t="shared" si="321"/>
        <v>53446</v>
      </c>
      <c r="BF118" s="72">
        <f t="shared" si="321"/>
        <v>61123</v>
      </c>
      <c r="BG118" s="72">
        <f t="shared" si="321"/>
        <v>65403</v>
      </c>
      <c r="BH118" s="72">
        <f t="shared" si="321"/>
        <v>58120</v>
      </c>
      <c r="BI118" s="72">
        <f t="shared" si="321"/>
        <v>58080</v>
      </c>
      <c r="BJ118" s="72">
        <f t="shared" ref="BJ118" si="322">+BJ577+BJ578</f>
        <v>70900</v>
      </c>
      <c r="BK118" s="72">
        <f>+BJ118+BK106+SUM(BK110:BK114)</f>
        <v>77951.092279885008</v>
      </c>
      <c r="BL118" s="72">
        <f t="shared" ref="BL118:BO118" si="323">+BK118+BL106+SUM(BL110:BL114)</f>
        <v>84935.28928314356</v>
      </c>
      <c r="BM118" s="72">
        <f t="shared" si="323"/>
        <v>93369.993643880822</v>
      </c>
      <c r="BN118" s="72">
        <f t="shared" si="323"/>
        <v>102170.21174835945</v>
      </c>
      <c r="BO118" s="72">
        <f t="shared" si="323"/>
        <v>111771.07210307696</v>
      </c>
      <c r="BT118" s="72">
        <f>+BT577+BT578</f>
        <v>1785</v>
      </c>
      <c r="BU118" s="72">
        <f>+BU577+BU578</f>
        <v>3908</v>
      </c>
      <c r="BV118" s="65">
        <f>+O118</f>
        <v>9626</v>
      </c>
      <c r="BW118" s="65">
        <f>+R118</f>
        <v>9328</v>
      </c>
      <c r="BX118" s="65">
        <f>+W118</f>
        <v>11199</v>
      </c>
      <c r="BY118" s="65">
        <f>+AA118</f>
        <v>18434</v>
      </c>
      <c r="BZ118" s="65">
        <f>+AE118</f>
        <v>29449</v>
      </c>
      <c r="CA118" s="65">
        <f>+AI118</f>
        <v>41711</v>
      </c>
      <c r="CB118" s="65">
        <f>AM118</f>
        <v>41114</v>
      </c>
      <c r="CC118" s="65">
        <f>+AQ118</f>
        <v>54855</v>
      </c>
      <c r="CD118" s="65">
        <f>+AU118</f>
        <v>61954</v>
      </c>
      <c r="CE118" s="65">
        <f>+AY118</f>
        <v>47998</v>
      </c>
      <c r="CF118" s="65">
        <f>+BC118</f>
        <v>40738</v>
      </c>
      <c r="CG118" s="65">
        <f>+BG118</f>
        <v>65403</v>
      </c>
      <c r="CH118" s="65">
        <f>+BK118</f>
        <v>77951.092279885008</v>
      </c>
      <c r="CI118" s="65">
        <f>+BO118</f>
        <v>111771.07210307696</v>
      </c>
    </row>
    <row r="119" spans="2:87" x14ac:dyDescent="0.2">
      <c r="B119" s="70" t="s">
        <v>37</v>
      </c>
      <c r="H119" s="49"/>
      <c r="I119" s="49"/>
      <c r="J119" s="49"/>
      <c r="K119" s="49"/>
      <c r="L119" s="74">
        <f>+L117-L118</f>
        <v>-3204</v>
      </c>
      <c r="M119" s="74">
        <f t="shared" ref="M119:AT119" si="324">+M117-M118</f>
        <v>-9482</v>
      </c>
      <c r="N119" s="74">
        <f t="shared" si="324"/>
        <v>-9550</v>
      </c>
      <c r="O119" s="74">
        <f t="shared" si="324"/>
        <v>-7270</v>
      </c>
      <c r="P119" s="74">
        <f t="shared" si="324"/>
        <v>-7214</v>
      </c>
      <c r="Q119" s="74">
        <f t="shared" si="324"/>
        <v>-8085</v>
      </c>
      <c r="R119" s="74">
        <f t="shared" si="324"/>
        <v>-8753</v>
      </c>
      <c r="S119" s="74">
        <f t="shared" si="324"/>
        <v>-10973</v>
      </c>
      <c r="T119" s="74">
        <f t="shared" si="324"/>
        <v>-12237</v>
      </c>
      <c r="U119" s="74">
        <f t="shared" si="324"/>
        <v>-13630</v>
      </c>
      <c r="V119" s="74">
        <f t="shared" si="324"/>
        <v>-13972</v>
      </c>
      <c r="W119" s="74">
        <f t="shared" si="324"/>
        <v>-10966</v>
      </c>
      <c r="X119" s="74">
        <f t="shared" si="324"/>
        <v>-12227</v>
      </c>
      <c r="Y119" s="74">
        <f t="shared" si="324"/>
        <v>-13976</v>
      </c>
      <c r="Z119" s="74">
        <f t="shared" si="324"/>
        <v>-15708</v>
      </c>
      <c r="AA119" s="74">
        <f t="shared" si="324"/>
        <v>-18320</v>
      </c>
      <c r="AB119" s="74">
        <f t="shared" si="324"/>
        <v>-20621</v>
      </c>
      <c r="AC119" s="74">
        <f t="shared" si="324"/>
        <v>-23293</v>
      </c>
      <c r="AD119" s="74">
        <f t="shared" si="324"/>
        <v>-26140</v>
      </c>
      <c r="AE119" s="74">
        <f t="shared" si="324"/>
        <v>-29449</v>
      </c>
      <c r="AF119" s="74">
        <f t="shared" si="324"/>
        <v>-32306</v>
      </c>
      <c r="AG119" s="74">
        <f t="shared" si="324"/>
        <v>-35452</v>
      </c>
      <c r="AH119" s="74">
        <f t="shared" si="324"/>
        <v>-38289</v>
      </c>
      <c r="AI119" s="74">
        <f t="shared" si="324"/>
        <v>-41711</v>
      </c>
      <c r="AJ119" s="74">
        <f t="shared" si="324"/>
        <v>-43956</v>
      </c>
      <c r="AK119" s="74">
        <f t="shared" si="324"/>
        <v>-42309</v>
      </c>
      <c r="AL119" s="74">
        <f t="shared" si="324"/>
        <v>-41206</v>
      </c>
      <c r="AM119" s="74">
        <f t="shared" si="324"/>
        <v>-41114</v>
      </c>
      <c r="AN119" s="74">
        <f t="shared" si="324"/>
        <v>-45243</v>
      </c>
      <c r="AO119" s="74">
        <f t="shared" si="324"/>
        <v>-48596</v>
      </c>
      <c r="AP119" s="74">
        <f t="shared" si="324"/>
        <v>-52269</v>
      </c>
      <c r="AQ119" s="74">
        <f t="shared" si="324"/>
        <v>-54855</v>
      </c>
      <c r="AR119" s="74">
        <f t="shared" si="324"/>
        <v>-60289</v>
      </c>
      <c r="AS119" s="74">
        <f t="shared" si="324"/>
        <v>-58240</v>
      </c>
      <c r="AT119" s="74">
        <f t="shared" si="324"/>
        <v>-55620</v>
      </c>
      <c r="AU119" s="74">
        <f t="shared" ref="AU119:AZ119" si="325">+AU117-AU118</f>
        <v>-61954</v>
      </c>
      <c r="AV119" s="74">
        <f t="shared" si="325"/>
        <v>-64219</v>
      </c>
      <c r="AW119" s="74">
        <f t="shared" si="325"/>
        <v>-64080</v>
      </c>
      <c r="AX119" s="74">
        <f t="shared" si="325"/>
        <v>-58075</v>
      </c>
      <c r="AY119" s="74">
        <f t="shared" si="325"/>
        <v>-47998</v>
      </c>
      <c r="AZ119" s="74">
        <f t="shared" si="325"/>
        <v>-43890</v>
      </c>
      <c r="BA119" s="74">
        <f t="shared" ref="BA119:BK119" si="326">+BA117-BA118</f>
        <v>-40489</v>
      </c>
      <c r="BB119" s="74">
        <f t="shared" si="326"/>
        <v>-31854</v>
      </c>
      <c r="BC119" s="74">
        <f t="shared" si="326"/>
        <v>-30815</v>
      </c>
      <c r="BD119" s="74">
        <f t="shared" si="326"/>
        <v>-27514</v>
      </c>
      <c r="BE119" s="74">
        <f t="shared" si="326"/>
        <v>-35064</v>
      </c>
      <c r="BF119" s="74">
        <f t="shared" si="326"/>
        <v>-42740</v>
      </c>
      <c r="BG119" s="74">
        <f t="shared" si="326"/>
        <v>-47018</v>
      </c>
      <c r="BH119" s="74">
        <f t="shared" si="326"/>
        <v>-39733</v>
      </c>
      <c r="BI119" s="74">
        <f t="shared" si="326"/>
        <v>-39691</v>
      </c>
      <c r="BJ119" s="74">
        <f t="shared" ref="BJ119" si="327">+BJ117-BJ118</f>
        <v>-42077</v>
      </c>
      <c r="BK119" s="74">
        <f t="shared" si="326"/>
        <v>-49128.092279885008</v>
      </c>
      <c r="BL119" s="74">
        <f t="shared" ref="BL119:BO119" si="328">+BL117-BL118</f>
        <v>-56112.28928314356</v>
      </c>
      <c r="BM119" s="74">
        <f t="shared" si="328"/>
        <v>-64546.993643880822</v>
      </c>
      <c r="BN119" s="74">
        <f t="shared" si="328"/>
        <v>-73347.211748359448</v>
      </c>
      <c r="BO119" s="74">
        <f t="shared" si="328"/>
        <v>-82948.072103076964</v>
      </c>
      <c r="BT119" s="74">
        <f t="shared" ref="BT119:CA119" si="329">+BT117-BT118</f>
        <v>-1312</v>
      </c>
      <c r="BU119" s="74">
        <f t="shared" si="329"/>
        <v>-3231</v>
      </c>
      <c r="BV119" s="74">
        <f t="shared" si="329"/>
        <v>-7270</v>
      </c>
      <c r="BW119" s="74">
        <f t="shared" si="329"/>
        <v>-8753</v>
      </c>
      <c r="BX119" s="74">
        <f t="shared" si="329"/>
        <v>-10966</v>
      </c>
      <c r="BY119" s="74">
        <f t="shared" si="329"/>
        <v>-18320</v>
      </c>
      <c r="BZ119" s="74">
        <f t="shared" si="329"/>
        <v>-29449</v>
      </c>
      <c r="CA119" s="74">
        <f t="shared" si="329"/>
        <v>-41711</v>
      </c>
      <c r="CB119" s="64">
        <f>AM119</f>
        <v>-41114</v>
      </c>
      <c r="CC119" s="64">
        <f>+AQ119</f>
        <v>-54855</v>
      </c>
      <c r="CD119" s="64">
        <f>+AU119</f>
        <v>-61954</v>
      </c>
      <c r="CE119" s="64">
        <f>+AY119</f>
        <v>-47998</v>
      </c>
      <c r="CF119" s="64">
        <f>+BC119</f>
        <v>-30815</v>
      </c>
      <c r="CG119" s="64">
        <f>+BG119</f>
        <v>-47018</v>
      </c>
      <c r="CH119" s="64">
        <f>+BK119</f>
        <v>-49128.092279885008</v>
      </c>
      <c r="CI119" s="64">
        <f>+BO119</f>
        <v>-82948.072103076964</v>
      </c>
    </row>
    <row r="120" spans="2:87" x14ac:dyDescent="0.2">
      <c r="H120" s="49"/>
      <c r="I120" s="49"/>
      <c r="J120" s="49"/>
      <c r="K120" s="49"/>
      <c r="L120" s="49"/>
      <c r="AB120" s="49"/>
      <c r="AC120" s="49"/>
      <c r="AD120" s="49"/>
      <c r="BU120" s="49"/>
    </row>
    <row r="121" spans="2:87" x14ac:dyDescent="0.2">
      <c r="B121" s="52" t="s">
        <v>211</v>
      </c>
      <c r="C121" s="53"/>
    </row>
    <row r="123" spans="2:87" x14ac:dyDescent="0.2">
      <c r="B123" s="54" t="s">
        <v>250</v>
      </c>
      <c r="AH123" s="56"/>
    </row>
    <row r="124" spans="2:87" x14ac:dyDescent="0.2">
      <c r="B124" t="s">
        <v>212</v>
      </c>
      <c r="D124" s="81">
        <v>340</v>
      </c>
      <c r="E124" s="81">
        <v>424</v>
      </c>
      <c r="F124" s="81">
        <v>450</v>
      </c>
      <c r="G124" s="81">
        <v>655</v>
      </c>
      <c r="H124" s="81">
        <v>637</v>
      </c>
      <c r="I124" s="81">
        <v>776</v>
      </c>
      <c r="J124" s="81">
        <v>798</v>
      </c>
      <c r="K124" s="81">
        <v>943</v>
      </c>
      <c r="L124" s="81">
        <v>872</v>
      </c>
      <c r="M124" s="81">
        <v>992</v>
      </c>
      <c r="N124" s="81">
        <v>1086</v>
      </c>
      <c r="O124" s="81">
        <v>1329</v>
      </c>
      <c r="P124" s="81">
        <v>1245</v>
      </c>
      <c r="Q124" s="81">
        <v>1599</v>
      </c>
      <c r="R124" s="81">
        <v>1798</v>
      </c>
      <c r="S124" s="81">
        <v>2344</v>
      </c>
      <c r="T124" s="81">
        <v>2265</v>
      </c>
      <c r="U124" s="81">
        <v>2676</v>
      </c>
      <c r="V124" s="81">
        <v>2957</v>
      </c>
      <c r="W124" s="81">
        <v>3594</v>
      </c>
      <c r="X124" s="81">
        <v>3317</v>
      </c>
      <c r="Y124" s="81">
        <v>3827</v>
      </c>
      <c r="Z124" s="81">
        <v>4299</v>
      </c>
      <c r="AA124" s="81">
        <v>5637</v>
      </c>
      <c r="AB124" s="81">
        <v>5201</v>
      </c>
      <c r="AC124" s="81">
        <v>6239</v>
      </c>
      <c r="AD124" s="81">
        <v>6816</v>
      </c>
      <c r="AE124" s="81">
        <v>8629</v>
      </c>
      <c r="AF124" s="81">
        <v>7857</v>
      </c>
      <c r="AG124" s="81">
        <v>9164</v>
      </c>
      <c r="AH124" s="81">
        <v>10142</v>
      </c>
      <c r="AI124" s="81">
        <v>12779</v>
      </c>
      <c r="AJ124" s="81">
        <v>11795</v>
      </c>
      <c r="AK124" s="81">
        <v>13038</v>
      </c>
      <c r="AL124" s="81">
        <v>13539</v>
      </c>
      <c r="AM124" s="81">
        <v>16640</v>
      </c>
      <c r="AN124" s="81">
        <v>14912</v>
      </c>
      <c r="AO124" s="81">
        <v>16624</v>
      </c>
      <c r="AP124" s="81">
        <v>17383</v>
      </c>
      <c r="AQ124" s="81">
        <v>20736</v>
      </c>
      <c r="AR124" s="81">
        <v>17440</v>
      </c>
      <c r="AS124" s="81">
        <v>18321</v>
      </c>
      <c r="AT124" s="81">
        <v>21112</v>
      </c>
      <c r="AU124" s="81">
        <v>27187</v>
      </c>
      <c r="AV124" s="81">
        <v>25439</v>
      </c>
      <c r="AW124" s="81">
        <v>28580</v>
      </c>
      <c r="AX124" s="81">
        <v>28276</v>
      </c>
      <c r="AY124" s="81">
        <v>32639</v>
      </c>
      <c r="AZ124" s="81">
        <v>26998</v>
      </c>
      <c r="BA124" s="81">
        <v>28152</v>
      </c>
      <c r="BB124" s="81">
        <v>27237</v>
      </c>
      <c r="BC124" s="81">
        <v>31254</v>
      </c>
      <c r="BD124" s="81">
        <v>28101</v>
      </c>
      <c r="BE124" s="81">
        <v>31498</v>
      </c>
      <c r="BF124" s="81">
        <v>33643</v>
      </c>
      <c r="BG124" s="81">
        <v>38706</v>
      </c>
      <c r="BH124" s="81">
        <v>35635</v>
      </c>
      <c r="BI124" s="81">
        <v>38329</v>
      </c>
      <c r="BJ124" s="81">
        <v>39885</v>
      </c>
      <c r="BK124" s="64">
        <f>+BK126-BK125</f>
        <v>45300.985498996532</v>
      </c>
      <c r="BL124" s="64">
        <f t="shared" ref="BL124:BO124" si="330">+BL126-BL125</f>
        <v>40307.193114113288</v>
      </c>
      <c r="BM124" s="64">
        <f t="shared" si="330"/>
        <v>43311.429946105854</v>
      </c>
      <c r="BN124" s="64">
        <f t="shared" si="330"/>
        <v>44792.811289533041</v>
      </c>
      <c r="BO124" s="64">
        <f t="shared" si="330"/>
        <v>51074.550830925436</v>
      </c>
      <c r="BQ124" s="79">
        <v>153</v>
      </c>
      <c r="BR124" s="79">
        <v>272</v>
      </c>
      <c r="BS124" s="81">
        <v>764</v>
      </c>
      <c r="BT124" s="64">
        <f>+SUM(D124:G124)</f>
        <v>1869</v>
      </c>
      <c r="BU124" s="64">
        <f>+SUM(H124:K124)</f>
        <v>3154</v>
      </c>
      <c r="BV124" s="64">
        <f>+SUM(L124:O124)</f>
        <v>4279</v>
      </c>
      <c r="BW124" s="64">
        <f>+SUM(P124:S124)</f>
        <v>6986</v>
      </c>
      <c r="BX124" s="64">
        <f>+SUM(T124:W124)</f>
        <v>11492</v>
      </c>
      <c r="BY124" s="64">
        <f>+SUM(X124:AA124)</f>
        <v>17080</v>
      </c>
      <c r="BZ124" s="64">
        <f>+SUM(AB124:AE124)</f>
        <v>26885</v>
      </c>
      <c r="CA124" s="64">
        <f>+SUM(AF124:AI124)</f>
        <v>39942</v>
      </c>
      <c r="CB124" s="64">
        <f>+SUM(AJ124:AM124)</f>
        <v>55012</v>
      </c>
      <c r="CC124" s="64">
        <f>+SUM(AN124:AQ124)</f>
        <v>69655</v>
      </c>
      <c r="CD124" s="64">
        <f>+SUM(AR124:AU124)</f>
        <v>84060</v>
      </c>
      <c r="CE124" s="64">
        <f>+SUM(AV124:AY124)</f>
        <v>114934</v>
      </c>
      <c r="CF124" s="64">
        <f>+SUM(AZ124:BC124)</f>
        <v>113641</v>
      </c>
      <c r="CG124" s="64">
        <f>+SUM(BD124:BG124)</f>
        <v>131948</v>
      </c>
      <c r="CH124" s="64">
        <f>+SUM(BH124:BK124)</f>
        <v>159149.98549899654</v>
      </c>
      <c r="CI124" s="64">
        <f>+SUM(BL124:BO124)</f>
        <v>179485.98518067761</v>
      </c>
    </row>
    <row r="125" spans="2:87" ht="13.5" x14ac:dyDescent="0.35">
      <c r="B125" t="s">
        <v>213</v>
      </c>
      <c r="D125" s="72">
        <f>+D126-D124</f>
        <v>5</v>
      </c>
      <c r="E125" s="72">
        <f t="shared" ref="E125:CC125" si="331">+E126-E124</f>
        <v>7</v>
      </c>
      <c r="F125" s="72">
        <f t="shared" si="331"/>
        <v>17</v>
      </c>
      <c r="G125" s="72">
        <f t="shared" si="331"/>
        <v>76</v>
      </c>
      <c r="H125" s="72">
        <f t="shared" si="331"/>
        <v>94</v>
      </c>
      <c r="I125" s="72">
        <f t="shared" si="331"/>
        <v>119</v>
      </c>
      <c r="J125" s="72">
        <f t="shared" si="331"/>
        <v>156</v>
      </c>
      <c r="K125" s="72">
        <f t="shared" si="331"/>
        <v>188</v>
      </c>
      <c r="L125" s="72">
        <f t="shared" si="331"/>
        <v>186</v>
      </c>
      <c r="M125" s="72">
        <f t="shared" si="331"/>
        <v>192</v>
      </c>
      <c r="N125" s="72">
        <f t="shared" si="331"/>
        <v>176</v>
      </c>
      <c r="O125" s="72">
        <f t="shared" si="331"/>
        <v>256</v>
      </c>
      <c r="P125" s="72">
        <f t="shared" si="331"/>
        <v>213</v>
      </c>
      <c r="Q125" s="72">
        <f t="shared" si="331"/>
        <v>214</v>
      </c>
      <c r="R125" s="72">
        <f t="shared" si="331"/>
        <v>218</v>
      </c>
      <c r="S125" s="72">
        <f t="shared" si="331"/>
        <v>241</v>
      </c>
      <c r="T125" s="72">
        <f t="shared" si="331"/>
        <v>237</v>
      </c>
      <c r="U125" s="72">
        <f t="shared" si="331"/>
        <v>234</v>
      </c>
      <c r="V125" s="72">
        <f t="shared" si="331"/>
        <v>246</v>
      </c>
      <c r="W125" s="72">
        <f t="shared" si="331"/>
        <v>257</v>
      </c>
      <c r="X125" s="72">
        <f t="shared" si="331"/>
        <v>226</v>
      </c>
      <c r="Y125" s="72">
        <f t="shared" si="331"/>
        <v>215</v>
      </c>
      <c r="Z125" s="72">
        <f t="shared" si="331"/>
        <v>202</v>
      </c>
      <c r="AA125" s="72">
        <f t="shared" si="331"/>
        <v>204</v>
      </c>
      <c r="AB125" s="72">
        <f t="shared" si="331"/>
        <v>181</v>
      </c>
      <c r="AC125" s="72">
        <f t="shared" si="331"/>
        <v>197</v>
      </c>
      <c r="AD125" s="72">
        <f t="shared" si="331"/>
        <v>195</v>
      </c>
      <c r="AE125" s="72">
        <f t="shared" si="331"/>
        <v>180</v>
      </c>
      <c r="AF125" s="72">
        <f t="shared" si="331"/>
        <v>175</v>
      </c>
      <c r="AG125" s="72">
        <f t="shared" si="331"/>
        <v>157</v>
      </c>
      <c r="AH125" s="72">
        <f t="shared" si="331"/>
        <v>186</v>
      </c>
      <c r="AI125" s="72">
        <f t="shared" si="331"/>
        <v>193</v>
      </c>
      <c r="AJ125" s="72">
        <f t="shared" si="331"/>
        <v>171</v>
      </c>
      <c r="AK125" s="72">
        <f t="shared" si="331"/>
        <v>193</v>
      </c>
      <c r="AL125" s="72">
        <f t="shared" si="331"/>
        <v>188</v>
      </c>
      <c r="AM125" s="72">
        <f t="shared" si="331"/>
        <v>274</v>
      </c>
      <c r="AN125" s="72">
        <f t="shared" si="331"/>
        <v>165</v>
      </c>
      <c r="AO125" s="72">
        <f t="shared" si="331"/>
        <v>262</v>
      </c>
      <c r="AP125" s="72">
        <f t="shared" si="331"/>
        <v>269</v>
      </c>
      <c r="AQ125" s="72">
        <f t="shared" si="331"/>
        <v>346</v>
      </c>
      <c r="AR125" s="72">
        <f t="shared" si="331"/>
        <v>297</v>
      </c>
      <c r="AS125" s="72">
        <f t="shared" si="331"/>
        <v>366</v>
      </c>
      <c r="AT125" s="72">
        <f t="shared" si="331"/>
        <v>358</v>
      </c>
      <c r="AU125" s="72">
        <f t="shared" ref="AU125:BA125" si="332">+AU126-AU124</f>
        <v>885</v>
      </c>
      <c r="AV125" s="72">
        <f t="shared" si="332"/>
        <v>732</v>
      </c>
      <c r="AW125" s="72">
        <f t="shared" si="332"/>
        <v>497</v>
      </c>
      <c r="AX125" s="72">
        <f t="shared" si="332"/>
        <v>734</v>
      </c>
      <c r="AY125" s="72">
        <f t="shared" si="332"/>
        <v>1032</v>
      </c>
      <c r="AZ125" s="72">
        <f t="shared" si="332"/>
        <v>910</v>
      </c>
      <c r="BA125" s="72">
        <f t="shared" si="332"/>
        <v>670</v>
      </c>
      <c r="BB125" s="72">
        <f t="shared" ref="BB125:BI125" si="333">+BB126-BB124</f>
        <v>477</v>
      </c>
      <c r="BC125" s="72">
        <f t="shared" si="333"/>
        <v>911</v>
      </c>
      <c r="BD125" s="72">
        <f t="shared" si="333"/>
        <v>544</v>
      </c>
      <c r="BE125" s="72">
        <f t="shared" si="333"/>
        <v>501</v>
      </c>
      <c r="BF125" s="72">
        <f t="shared" si="333"/>
        <v>503</v>
      </c>
      <c r="BG125" s="72">
        <f t="shared" si="333"/>
        <v>1405</v>
      </c>
      <c r="BH125" s="72">
        <f t="shared" si="333"/>
        <v>820</v>
      </c>
      <c r="BI125" s="72">
        <f t="shared" si="333"/>
        <v>742</v>
      </c>
      <c r="BJ125" s="72">
        <f t="shared" ref="BJ125" si="334">+BJ126-BJ124</f>
        <v>704</v>
      </c>
      <c r="BK125" s="72">
        <f>+BG125*(1+BK130)</f>
        <v>1545.5000000000002</v>
      </c>
      <c r="BL125" s="72">
        <f t="shared" ref="BL125:BO125" si="335">+BH125*(1+BL130)</f>
        <v>984</v>
      </c>
      <c r="BM125" s="72">
        <f t="shared" si="335"/>
        <v>890.4</v>
      </c>
      <c r="BN125" s="72">
        <f t="shared" si="335"/>
        <v>844.8</v>
      </c>
      <c r="BO125" s="72">
        <f t="shared" si="335"/>
        <v>1854.6000000000001</v>
      </c>
      <c r="BQ125" s="72">
        <f t="shared" si="331"/>
        <v>0</v>
      </c>
      <c r="BR125" s="72">
        <f t="shared" si="331"/>
        <v>0</v>
      </c>
      <c r="BS125" s="72">
        <f t="shared" si="331"/>
        <v>13</v>
      </c>
      <c r="BT125" s="72">
        <f t="shared" si="331"/>
        <v>105</v>
      </c>
      <c r="BU125" s="72">
        <f t="shared" si="331"/>
        <v>557</v>
      </c>
      <c r="BV125" s="72">
        <f t="shared" si="331"/>
        <v>810</v>
      </c>
      <c r="BW125" s="72">
        <f t="shared" si="331"/>
        <v>886</v>
      </c>
      <c r="BX125" s="72">
        <f t="shared" si="331"/>
        <v>974</v>
      </c>
      <c r="BY125" s="72">
        <f t="shared" si="331"/>
        <v>847</v>
      </c>
      <c r="BZ125" s="72">
        <f t="shared" si="331"/>
        <v>753</v>
      </c>
      <c r="CA125" s="72">
        <f t="shared" si="331"/>
        <v>711</v>
      </c>
      <c r="CB125" s="72">
        <f t="shared" si="331"/>
        <v>826</v>
      </c>
      <c r="CC125" s="72">
        <f t="shared" si="331"/>
        <v>1042</v>
      </c>
      <c r="CD125" s="72">
        <f>+SUM(AR125:AU125)</f>
        <v>1906</v>
      </c>
      <c r="CE125" s="72">
        <f>+SUM(AV125:AY125)</f>
        <v>2995</v>
      </c>
      <c r="CF125" s="72">
        <f>+SUM(AZ125:BC125)</f>
        <v>2968</v>
      </c>
      <c r="CG125" s="72">
        <f>+SUM(BD125:BG125)</f>
        <v>2953</v>
      </c>
      <c r="CH125" s="72">
        <f>+SUM(BH125:BK125)</f>
        <v>3811.5</v>
      </c>
      <c r="CI125" s="72">
        <f t="shared" ref="CI125:CI126" si="336">+SUM(BL125:BO125)</f>
        <v>4573.8</v>
      </c>
    </row>
    <row r="126" spans="2:87" s="44" customFormat="1" x14ac:dyDescent="0.2">
      <c r="B126" s="110" t="s">
        <v>248</v>
      </c>
      <c r="D126" s="111">
        <f t="shared" ref="D126:AI126" si="337">+D412</f>
        <v>345</v>
      </c>
      <c r="E126" s="111">
        <f t="shared" si="337"/>
        <v>431</v>
      </c>
      <c r="F126" s="111">
        <f t="shared" si="337"/>
        <v>467</v>
      </c>
      <c r="G126" s="111">
        <f t="shared" si="337"/>
        <v>731</v>
      </c>
      <c r="H126" s="111">
        <f t="shared" si="337"/>
        <v>731</v>
      </c>
      <c r="I126" s="111">
        <f t="shared" si="337"/>
        <v>895</v>
      </c>
      <c r="J126" s="111">
        <f t="shared" si="337"/>
        <v>954</v>
      </c>
      <c r="K126" s="111">
        <f t="shared" si="337"/>
        <v>1131</v>
      </c>
      <c r="L126" s="111">
        <f t="shared" si="337"/>
        <v>1058</v>
      </c>
      <c r="M126" s="111">
        <f t="shared" si="337"/>
        <v>1184</v>
      </c>
      <c r="N126" s="111">
        <f t="shared" si="337"/>
        <v>1262</v>
      </c>
      <c r="O126" s="111">
        <f t="shared" si="337"/>
        <v>1585</v>
      </c>
      <c r="P126" s="111">
        <f t="shared" si="337"/>
        <v>1458</v>
      </c>
      <c r="Q126" s="111">
        <f t="shared" si="337"/>
        <v>1813</v>
      </c>
      <c r="R126" s="111">
        <f t="shared" si="337"/>
        <v>2016</v>
      </c>
      <c r="S126" s="111">
        <f t="shared" si="337"/>
        <v>2585</v>
      </c>
      <c r="T126" s="111">
        <f t="shared" si="337"/>
        <v>2502</v>
      </c>
      <c r="U126" s="111">
        <f t="shared" si="337"/>
        <v>2910</v>
      </c>
      <c r="V126" s="111">
        <f t="shared" si="337"/>
        <v>3203</v>
      </c>
      <c r="W126" s="111">
        <f t="shared" si="337"/>
        <v>3851</v>
      </c>
      <c r="X126" s="111">
        <f t="shared" si="337"/>
        <v>3543</v>
      </c>
      <c r="Y126" s="111">
        <f t="shared" si="337"/>
        <v>4042</v>
      </c>
      <c r="Z126" s="111">
        <f t="shared" si="337"/>
        <v>4501</v>
      </c>
      <c r="AA126" s="111">
        <f t="shared" si="337"/>
        <v>5841</v>
      </c>
      <c r="AB126" s="111">
        <f t="shared" si="337"/>
        <v>5382</v>
      </c>
      <c r="AC126" s="111">
        <f t="shared" si="337"/>
        <v>6436</v>
      </c>
      <c r="AD126" s="111">
        <f t="shared" si="337"/>
        <v>7011</v>
      </c>
      <c r="AE126" s="111">
        <f t="shared" si="337"/>
        <v>8809</v>
      </c>
      <c r="AF126" s="111">
        <f t="shared" si="337"/>
        <v>8032</v>
      </c>
      <c r="AG126" s="111">
        <f t="shared" si="337"/>
        <v>9321</v>
      </c>
      <c r="AH126" s="111">
        <f t="shared" si="337"/>
        <v>10328</v>
      </c>
      <c r="AI126" s="111">
        <f t="shared" si="337"/>
        <v>12972</v>
      </c>
      <c r="AJ126" s="111">
        <f t="shared" ref="AJ126:BH126" si="338">+AJ412</f>
        <v>11966</v>
      </c>
      <c r="AK126" s="111">
        <f t="shared" si="338"/>
        <v>13231</v>
      </c>
      <c r="AL126" s="111">
        <f t="shared" si="338"/>
        <v>13727</v>
      </c>
      <c r="AM126" s="111">
        <f t="shared" si="338"/>
        <v>16914</v>
      </c>
      <c r="AN126" s="111">
        <f t="shared" si="338"/>
        <v>15077</v>
      </c>
      <c r="AO126" s="111">
        <f t="shared" si="338"/>
        <v>16886</v>
      </c>
      <c r="AP126" s="111">
        <f t="shared" si="338"/>
        <v>17652</v>
      </c>
      <c r="AQ126" s="111">
        <f t="shared" si="338"/>
        <v>21082</v>
      </c>
      <c r="AR126" s="111">
        <f t="shared" si="338"/>
        <v>17737</v>
      </c>
      <c r="AS126" s="111">
        <f t="shared" si="338"/>
        <v>18687</v>
      </c>
      <c r="AT126" s="111">
        <f t="shared" si="338"/>
        <v>21470</v>
      </c>
      <c r="AU126" s="111">
        <f t="shared" si="338"/>
        <v>28072</v>
      </c>
      <c r="AV126" s="111">
        <f t="shared" si="338"/>
        <v>26171</v>
      </c>
      <c r="AW126" s="111">
        <f t="shared" si="338"/>
        <v>29077</v>
      </c>
      <c r="AX126" s="111">
        <f t="shared" si="338"/>
        <v>29010</v>
      </c>
      <c r="AY126" s="111">
        <f t="shared" si="338"/>
        <v>33671</v>
      </c>
      <c r="AZ126" s="111">
        <f t="shared" si="338"/>
        <v>27908</v>
      </c>
      <c r="BA126" s="111">
        <f t="shared" si="338"/>
        <v>28822</v>
      </c>
      <c r="BB126" s="111">
        <f t="shared" si="338"/>
        <v>27714</v>
      </c>
      <c r="BC126" s="111">
        <f t="shared" si="338"/>
        <v>32165</v>
      </c>
      <c r="BD126" s="111">
        <f t="shared" si="338"/>
        <v>28645</v>
      </c>
      <c r="BE126" s="111">
        <f t="shared" si="338"/>
        <v>31999</v>
      </c>
      <c r="BF126" s="111">
        <f t="shared" si="338"/>
        <v>34146</v>
      </c>
      <c r="BG126" s="111">
        <f t="shared" si="338"/>
        <v>40111</v>
      </c>
      <c r="BH126" s="111">
        <f t="shared" si="338"/>
        <v>36455</v>
      </c>
      <c r="BI126" s="111">
        <f>+BI412</f>
        <v>39071</v>
      </c>
      <c r="BJ126" s="111">
        <f>+BJ412</f>
        <v>40589</v>
      </c>
      <c r="BK126" s="111">
        <f>+BG126*(1+BK131)</f>
        <v>46846.485498996532</v>
      </c>
      <c r="BL126" s="111">
        <f t="shared" ref="BL126:BO126" si="339">+BH126*(1+BL131)</f>
        <v>41291.193114113288</v>
      </c>
      <c r="BM126" s="111">
        <f t="shared" si="339"/>
        <v>44201.829946105856</v>
      </c>
      <c r="BN126" s="111">
        <f t="shared" si="339"/>
        <v>45637.611289533044</v>
      </c>
      <c r="BO126" s="111">
        <f t="shared" si="339"/>
        <v>52929.150830925435</v>
      </c>
      <c r="BQ126" s="111">
        <f t="shared" ref="BQ126:CC126" si="340">+BQ412</f>
        <v>153</v>
      </c>
      <c r="BR126" s="111">
        <f t="shared" si="340"/>
        <v>272</v>
      </c>
      <c r="BS126" s="111">
        <f t="shared" si="340"/>
        <v>777</v>
      </c>
      <c r="BT126" s="111">
        <f t="shared" si="340"/>
        <v>1974</v>
      </c>
      <c r="BU126" s="111">
        <f t="shared" si="340"/>
        <v>3711</v>
      </c>
      <c r="BV126" s="111">
        <f t="shared" si="340"/>
        <v>5089</v>
      </c>
      <c r="BW126" s="111">
        <f t="shared" si="340"/>
        <v>7872</v>
      </c>
      <c r="BX126" s="111">
        <f t="shared" si="340"/>
        <v>12466</v>
      </c>
      <c r="BY126" s="111">
        <f t="shared" si="340"/>
        <v>17927</v>
      </c>
      <c r="BZ126" s="111">
        <f t="shared" si="340"/>
        <v>27638</v>
      </c>
      <c r="CA126" s="111">
        <f t="shared" si="340"/>
        <v>40653</v>
      </c>
      <c r="CB126" s="111">
        <f t="shared" si="340"/>
        <v>55838</v>
      </c>
      <c r="CC126" s="111">
        <f t="shared" si="340"/>
        <v>70697</v>
      </c>
      <c r="CD126" s="111">
        <f>+SUM(AR126:AU126)</f>
        <v>85966</v>
      </c>
      <c r="CE126" s="111">
        <f>+SUM(AV126:AY126)</f>
        <v>117929</v>
      </c>
      <c r="CF126" s="111">
        <f>+SUM(AZ126:BC126)</f>
        <v>116609</v>
      </c>
      <c r="CG126" s="111">
        <f>+SUM(BD126:BG126)</f>
        <v>134901</v>
      </c>
      <c r="CH126" s="111">
        <f>+SUM(BH126:BK126)</f>
        <v>162961.48549899654</v>
      </c>
      <c r="CI126" s="111">
        <f t="shared" si="336"/>
        <v>184059.78518067763</v>
      </c>
    </row>
    <row r="128" spans="2:87" x14ac:dyDescent="0.2">
      <c r="B128" s="62" t="s">
        <v>17</v>
      </c>
      <c r="AZ128" s="56"/>
    </row>
    <row r="129" spans="2:87" s="76" customFormat="1" x14ac:dyDescent="0.2">
      <c r="B129" s="60" t="s">
        <v>212</v>
      </c>
      <c r="C129" s="106"/>
      <c r="D129" s="106"/>
      <c r="E129" s="106"/>
      <c r="F129" s="106"/>
      <c r="G129" s="106"/>
      <c r="H129" s="106">
        <f t="shared" ref="H129:Q131" si="341">+H124/D124-1</f>
        <v>0.87352941176470589</v>
      </c>
      <c r="I129" s="106">
        <f t="shared" si="341"/>
        <v>0.83018867924528306</v>
      </c>
      <c r="J129" s="106">
        <f t="shared" si="341"/>
        <v>0.77333333333333343</v>
      </c>
      <c r="K129" s="106">
        <f t="shared" si="341"/>
        <v>0.43969465648854955</v>
      </c>
      <c r="L129" s="106">
        <f t="shared" si="341"/>
        <v>0.36891679748822614</v>
      </c>
      <c r="M129" s="106">
        <f t="shared" si="341"/>
        <v>0.27835051546391743</v>
      </c>
      <c r="N129" s="106">
        <f t="shared" si="341"/>
        <v>0.36090225563909772</v>
      </c>
      <c r="O129" s="106">
        <f t="shared" si="341"/>
        <v>0.40933191940615066</v>
      </c>
      <c r="P129" s="106">
        <f t="shared" si="341"/>
        <v>0.42775229357798161</v>
      </c>
      <c r="Q129" s="106">
        <f t="shared" si="341"/>
        <v>0.61189516129032251</v>
      </c>
      <c r="R129" s="106">
        <f t="shared" ref="R129:AA131" si="342">+R124/N124-1</f>
        <v>0.65561694290976069</v>
      </c>
      <c r="S129" s="106">
        <f t="shared" si="342"/>
        <v>0.76373212942061697</v>
      </c>
      <c r="T129" s="106">
        <f t="shared" si="342"/>
        <v>0.81927710843373491</v>
      </c>
      <c r="U129" s="106">
        <f t="shared" si="342"/>
        <v>0.67354596622889296</v>
      </c>
      <c r="V129" s="106">
        <f t="shared" si="342"/>
        <v>0.64460511679644039</v>
      </c>
      <c r="W129" s="106">
        <f t="shared" si="342"/>
        <v>0.53327645051194539</v>
      </c>
      <c r="X129" s="106">
        <f t="shared" si="342"/>
        <v>0.46445916114790298</v>
      </c>
      <c r="Y129" s="106">
        <f t="shared" si="342"/>
        <v>0.43011958146487284</v>
      </c>
      <c r="Z129" s="106">
        <f t="shared" si="342"/>
        <v>0.45383834967872838</v>
      </c>
      <c r="AA129" s="106">
        <f t="shared" si="342"/>
        <v>0.56844741235392315</v>
      </c>
      <c r="AB129" s="106">
        <f t="shared" ref="AB129:AK131" si="343">+AB124/X124-1</f>
        <v>0.56798311727464568</v>
      </c>
      <c r="AC129" s="106">
        <f t="shared" si="343"/>
        <v>0.63025868826757248</v>
      </c>
      <c r="AD129" s="106">
        <f t="shared" si="343"/>
        <v>0.58548499651081642</v>
      </c>
      <c r="AE129" s="106">
        <f t="shared" si="343"/>
        <v>0.53077878304062454</v>
      </c>
      <c r="AF129" s="106">
        <f t="shared" si="343"/>
        <v>0.51067102480292248</v>
      </c>
      <c r="AG129" s="106">
        <f t="shared" si="343"/>
        <v>0.4688251322327297</v>
      </c>
      <c r="AH129" s="106">
        <f t="shared" si="343"/>
        <v>0.48796948356807501</v>
      </c>
      <c r="AI129" s="106">
        <f t="shared" si="343"/>
        <v>0.4809363773322517</v>
      </c>
      <c r="AJ129" s="106">
        <f t="shared" si="343"/>
        <v>0.50120911289296166</v>
      </c>
      <c r="AK129" s="106">
        <f t="shared" si="343"/>
        <v>0.42274116106503712</v>
      </c>
      <c r="AL129" s="106">
        <f t="shared" ref="AL129:AU131" si="344">+AL124/AH124-1</f>
        <v>0.33494379806744234</v>
      </c>
      <c r="AM129" s="106">
        <f t="shared" si="344"/>
        <v>0.30213631739572744</v>
      </c>
      <c r="AN129" s="106">
        <f t="shared" si="344"/>
        <v>0.26426451886392543</v>
      </c>
      <c r="AO129" s="106">
        <f t="shared" si="344"/>
        <v>0.27504218438410799</v>
      </c>
      <c r="AP129" s="106">
        <f t="shared" si="344"/>
        <v>0.28392052588817496</v>
      </c>
      <c r="AQ129" s="106">
        <f t="shared" si="344"/>
        <v>0.24615384615384617</v>
      </c>
      <c r="AR129" s="106">
        <f t="shared" si="344"/>
        <v>0.16952789699570814</v>
      </c>
      <c r="AS129" s="106">
        <f t="shared" si="344"/>
        <v>0.10208132820019244</v>
      </c>
      <c r="AT129" s="106">
        <f t="shared" si="344"/>
        <v>0.21451993326813557</v>
      </c>
      <c r="AU129" s="106">
        <f t="shared" si="344"/>
        <v>0.31110146604938271</v>
      </c>
      <c r="AV129" s="106">
        <f t="shared" ref="AV129:BJ131" si="345">+AV124/AR124-1</f>
        <v>0.45865825688073403</v>
      </c>
      <c r="AW129" s="106">
        <f t="shared" si="345"/>
        <v>0.55995851754816872</v>
      </c>
      <c r="AX129" s="106">
        <f t="shared" si="345"/>
        <v>0.3393330807123911</v>
      </c>
      <c r="AY129" s="106">
        <f t="shared" si="345"/>
        <v>0.200537021370508</v>
      </c>
      <c r="AZ129" s="106">
        <f t="shared" si="345"/>
        <v>6.1283855497464623E-2</v>
      </c>
      <c r="BA129" s="106">
        <f t="shared" si="345"/>
        <v>-1.4975507347795625E-2</v>
      </c>
      <c r="BB129" s="106">
        <f t="shared" si="345"/>
        <v>-3.674494270759654E-2</v>
      </c>
      <c r="BC129" s="106">
        <f t="shared" si="345"/>
        <v>-4.2433898097368195E-2</v>
      </c>
      <c r="BD129" s="106">
        <f t="shared" si="345"/>
        <v>4.0854878139121364E-2</v>
      </c>
      <c r="BE129" s="106">
        <f t="shared" si="345"/>
        <v>0.11885478829212848</v>
      </c>
      <c r="BF129" s="106">
        <f t="shared" si="345"/>
        <v>0.23519477181774784</v>
      </c>
      <c r="BG129" s="106">
        <f t="shared" si="345"/>
        <v>0.23843348051449409</v>
      </c>
      <c r="BH129" s="106">
        <f t="shared" si="345"/>
        <v>0.26810433792391719</v>
      </c>
      <c r="BI129" s="106">
        <f t="shared" si="345"/>
        <v>0.21687091243888501</v>
      </c>
      <c r="BJ129" s="106">
        <f t="shared" si="345"/>
        <v>0.18553636714918409</v>
      </c>
      <c r="BK129" s="106">
        <f>+BK124/BG124-1</f>
        <v>0.17038664545539528</v>
      </c>
      <c r="BL129" s="106">
        <f t="shared" ref="BL129:BO129" si="346">+BL124/BH124-1</f>
        <v>0.13111247689387651</v>
      </c>
      <c r="BM129" s="106">
        <f t="shared" si="346"/>
        <v>0.1299911280259296</v>
      </c>
      <c r="BN129" s="106">
        <f t="shared" si="346"/>
        <v>0.12304904825205076</v>
      </c>
      <c r="BO129" s="106">
        <f t="shared" si="346"/>
        <v>0.12744900068579734</v>
      </c>
      <c r="BP129" s="106"/>
      <c r="BQ129" s="106"/>
      <c r="BR129" s="106">
        <f t="shared" ref="BR129:CI129" si="347">+BR124/BQ124-1</f>
        <v>0.77777777777777768</v>
      </c>
      <c r="BS129" s="106">
        <f t="shared" si="347"/>
        <v>1.8088235294117645</v>
      </c>
      <c r="BT129" s="106">
        <f t="shared" si="347"/>
        <v>1.4463350785340312</v>
      </c>
      <c r="BU129" s="106">
        <f t="shared" si="347"/>
        <v>0.68753344034242914</v>
      </c>
      <c r="BV129" s="106">
        <f t="shared" si="347"/>
        <v>0.35668991756499691</v>
      </c>
      <c r="BW129" s="106">
        <f t="shared" si="347"/>
        <v>0.63262444496377657</v>
      </c>
      <c r="BX129" s="106">
        <f t="shared" si="347"/>
        <v>0.64500429430289152</v>
      </c>
      <c r="BY129" s="106">
        <f t="shared" si="347"/>
        <v>0.48625130525583016</v>
      </c>
      <c r="BZ129" s="106">
        <f t="shared" si="347"/>
        <v>0.57406323185011709</v>
      </c>
      <c r="CA129" s="106">
        <f t="shared" si="347"/>
        <v>0.48566114933978044</v>
      </c>
      <c r="CB129" s="106">
        <f t="shared" si="347"/>
        <v>0.37729708076711233</v>
      </c>
      <c r="CC129" s="106">
        <f t="shared" si="347"/>
        <v>0.26617828837344581</v>
      </c>
      <c r="CD129" s="106">
        <f t="shared" si="347"/>
        <v>0.20680496733902798</v>
      </c>
      <c r="CE129" s="106">
        <f t="shared" si="347"/>
        <v>0.36728527242445863</v>
      </c>
      <c r="CF129" s="106">
        <f t="shared" si="347"/>
        <v>-1.1249934745158119E-2</v>
      </c>
      <c r="CG129" s="106">
        <f t="shared" si="347"/>
        <v>0.16109502732288528</v>
      </c>
      <c r="CH129" s="106">
        <f t="shared" si="347"/>
        <v>0.20615686102856068</v>
      </c>
      <c r="CI129" s="106">
        <f t="shared" si="347"/>
        <v>0.12777883465034501</v>
      </c>
    </row>
    <row r="130" spans="2:87" s="76" customFormat="1" ht="13.5" x14ac:dyDescent="0.35">
      <c r="B130" s="60" t="s">
        <v>213</v>
      </c>
      <c r="C130" s="106"/>
      <c r="D130" s="106"/>
      <c r="E130" s="106"/>
      <c r="F130" s="106"/>
      <c r="G130" s="106"/>
      <c r="H130" s="108">
        <f t="shared" si="341"/>
        <v>17.8</v>
      </c>
      <c r="I130" s="108">
        <f t="shared" si="341"/>
        <v>16</v>
      </c>
      <c r="J130" s="108">
        <f t="shared" si="341"/>
        <v>8.1764705882352935</v>
      </c>
      <c r="K130" s="108">
        <f t="shared" si="341"/>
        <v>1.4736842105263159</v>
      </c>
      <c r="L130" s="108">
        <f t="shared" si="341"/>
        <v>0.97872340425531923</v>
      </c>
      <c r="M130" s="108">
        <f t="shared" si="341"/>
        <v>0.61344537815126055</v>
      </c>
      <c r="N130" s="108">
        <f t="shared" si="341"/>
        <v>0.12820512820512819</v>
      </c>
      <c r="O130" s="108">
        <f t="shared" si="341"/>
        <v>0.36170212765957444</v>
      </c>
      <c r="P130" s="108">
        <f t="shared" si="341"/>
        <v>0.14516129032258074</v>
      </c>
      <c r="Q130" s="108">
        <f t="shared" si="341"/>
        <v>0.11458333333333326</v>
      </c>
      <c r="R130" s="108">
        <f t="shared" si="342"/>
        <v>0.23863636363636354</v>
      </c>
      <c r="S130" s="108">
        <f t="shared" si="342"/>
        <v>-5.859375E-2</v>
      </c>
      <c r="T130" s="108">
        <f t="shared" si="342"/>
        <v>0.11267605633802824</v>
      </c>
      <c r="U130" s="108">
        <f t="shared" si="342"/>
        <v>9.3457943925233655E-2</v>
      </c>
      <c r="V130" s="108">
        <f t="shared" si="342"/>
        <v>0.12844036697247696</v>
      </c>
      <c r="W130" s="108">
        <f t="shared" si="342"/>
        <v>6.639004149377592E-2</v>
      </c>
      <c r="X130" s="108">
        <f t="shared" si="342"/>
        <v>-4.641350210970463E-2</v>
      </c>
      <c r="Y130" s="108">
        <f t="shared" si="342"/>
        <v>-8.1196581196581241E-2</v>
      </c>
      <c r="Z130" s="108">
        <f t="shared" si="342"/>
        <v>-0.17886178861788615</v>
      </c>
      <c r="AA130" s="108">
        <f t="shared" si="342"/>
        <v>-0.20622568093385218</v>
      </c>
      <c r="AB130" s="108">
        <f t="shared" si="343"/>
        <v>-0.19911504424778759</v>
      </c>
      <c r="AC130" s="108">
        <f t="shared" si="343"/>
        <v>-8.3720930232558111E-2</v>
      </c>
      <c r="AD130" s="108">
        <f t="shared" si="343"/>
        <v>-3.4653465346534684E-2</v>
      </c>
      <c r="AE130" s="108">
        <f t="shared" si="343"/>
        <v>-0.11764705882352944</v>
      </c>
      <c r="AF130" s="108">
        <f t="shared" si="343"/>
        <v>-3.3149171270718258E-2</v>
      </c>
      <c r="AG130" s="108">
        <f t="shared" si="343"/>
        <v>-0.20304568527918787</v>
      </c>
      <c r="AH130" s="108">
        <f t="shared" si="343"/>
        <v>-4.6153846153846101E-2</v>
      </c>
      <c r="AI130" s="108">
        <f t="shared" si="343"/>
        <v>7.2222222222222188E-2</v>
      </c>
      <c r="AJ130" s="108">
        <f t="shared" si="343"/>
        <v>-2.2857142857142909E-2</v>
      </c>
      <c r="AK130" s="108">
        <f t="shared" si="343"/>
        <v>0.22929936305732479</v>
      </c>
      <c r="AL130" s="108">
        <f t="shared" si="344"/>
        <v>1.0752688172043001E-2</v>
      </c>
      <c r="AM130" s="108">
        <f t="shared" si="344"/>
        <v>0.41968911917098439</v>
      </c>
      <c r="AN130" s="108">
        <f t="shared" si="344"/>
        <v>-3.5087719298245612E-2</v>
      </c>
      <c r="AO130" s="108">
        <f t="shared" si="344"/>
        <v>0.35751295336787559</v>
      </c>
      <c r="AP130" s="108">
        <f t="shared" si="344"/>
        <v>0.43085106382978733</v>
      </c>
      <c r="AQ130" s="108">
        <f t="shared" si="344"/>
        <v>0.26277372262773713</v>
      </c>
      <c r="AR130" s="108">
        <f t="shared" si="344"/>
        <v>0.8</v>
      </c>
      <c r="AS130" s="108">
        <f t="shared" si="344"/>
        <v>0.39694656488549618</v>
      </c>
      <c r="AT130" s="108">
        <f t="shared" si="344"/>
        <v>0.33085501858736066</v>
      </c>
      <c r="AU130" s="108">
        <f t="shared" si="344"/>
        <v>1.5578034682080926</v>
      </c>
      <c r="AV130" s="108">
        <f t="shared" si="345"/>
        <v>1.4646464646464645</v>
      </c>
      <c r="AW130" s="108">
        <f t="shared" si="345"/>
        <v>0.35792349726775963</v>
      </c>
      <c r="AX130" s="108">
        <f t="shared" si="345"/>
        <v>1.0502793296089385</v>
      </c>
      <c r="AY130" s="108">
        <f t="shared" si="345"/>
        <v>0.16610169491525428</v>
      </c>
      <c r="AZ130" s="108">
        <f t="shared" si="345"/>
        <v>0.24316939890710376</v>
      </c>
      <c r="BA130" s="108">
        <f t="shared" si="345"/>
        <v>0.34808853118712269</v>
      </c>
      <c r="BB130" s="108">
        <f t="shared" si="345"/>
        <v>-0.35013623978201636</v>
      </c>
      <c r="BC130" s="108">
        <f t="shared" si="345"/>
        <v>-0.11724806201550386</v>
      </c>
      <c r="BD130" s="108">
        <f t="shared" si="345"/>
        <v>-0.40219780219780221</v>
      </c>
      <c r="BE130" s="108">
        <f t="shared" si="345"/>
        <v>-0.25223880597014925</v>
      </c>
      <c r="BF130" s="108">
        <f t="shared" si="345"/>
        <v>5.4507337526205513E-2</v>
      </c>
      <c r="BG130" s="108">
        <f t="shared" si="345"/>
        <v>0.54226125137211856</v>
      </c>
      <c r="BH130" s="108">
        <f t="shared" si="345"/>
        <v>0.50735294117647056</v>
      </c>
      <c r="BI130" s="108">
        <f t="shared" si="345"/>
        <v>0.48103792415169666</v>
      </c>
      <c r="BJ130" s="108">
        <f t="shared" si="345"/>
        <v>0.3996023856858848</v>
      </c>
      <c r="BK130" s="236">
        <v>0.1</v>
      </c>
      <c r="BL130" s="236">
        <v>0.2</v>
      </c>
      <c r="BM130" s="236">
        <v>0.2</v>
      </c>
      <c r="BN130" s="236">
        <v>0.2</v>
      </c>
      <c r="BO130" s="236">
        <v>0.2</v>
      </c>
      <c r="BP130" s="108"/>
      <c r="BQ130" s="108"/>
      <c r="BR130" s="134" t="str">
        <f>+IFERROR(BR125/BQ125-1,"n/a")</f>
        <v>n/a</v>
      </c>
      <c r="BS130" s="134" t="str">
        <f t="shared" ref="BS130:CI130" si="348">+IFERROR(BS125/BR125-1,"n/a")</f>
        <v>n/a</v>
      </c>
      <c r="BT130" s="134">
        <f t="shared" si="348"/>
        <v>7.0769230769230766</v>
      </c>
      <c r="BU130" s="134">
        <f t="shared" si="348"/>
        <v>4.3047619047619046</v>
      </c>
      <c r="BV130" s="134">
        <f t="shared" si="348"/>
        <v>0.45421903052064638</v>
      </c>
      <c r="BW130" s="134">
        <f t="shared" si="348"/>
        <v>9.3827160493827222E-2</v>
      </c>
      <c r="BX130" s="134">
        <f t="shared" si="348"/>
        <v>9.9322799097065539E-2</v>
      </c>
      <c r="BY130" s="134">
        <f t="shared" si="348"/>
        <v>-0.13039014373716629</v>
      </c>
      <c r="BZ130" s="134">
        <f t="shared" si="348"/>
        <v>-0.11097992916174737</v>
      </c>
      <c r="CA130" s="134">
        <f t="shared" si="348"/>
        <v>-5.5776892430278835E-2</v>
      </c>
      <c r="CB130" s="134">
        <f t="shared" si="348"/>
        <v>0.16174402250351627</v>
      </c>
      <c r="CC130" s="134">
        <f t="shared" si="348"/>
        <v>0.26150121065375309</v>
      </c>
      <c r="CD130" s="134">
        <f t="shared" si="348"/>
        <v>0.82917466410748553</v>
      </c>
      <c r="CE130" s="134">
        <f t="shared" si="348"/>
        <v>0.5713536201469045</v>
      </c>
      <c r="CF130" s="134">
        <f t="shared" si="348"/>
        <v>-9.0150250417362354E-3</v>
      </c>
      <c r="CG130" s="134">
        <f t="shared" si="348"/>
        <v>-5.0539083557951114E-3</v>
      </c>
      <c r="CH130" s="134">
        <f t="shared" si="348"/>
        <v>0.29072130037250243</v>
      </c>
      <c r="CI130" s="134">
        <f t="shared" si="348"/>
        <v>0.19999999999999996</v>
      </c>
    </row>
    <row r="131" spans="2:87" s="76" customFormat="1" x14ac:dyDescent="0.2">
      <c r="B131" s="101" t="s">
        <v>248</v>
      </c>
      <c r="C131" s="106"/>
      <c r="D131" s="106"/>
      <c r="E131" s="106"/>
      <c r="F131" s="106"/>
      <c r="G131" s="106"/>
      <c r="H131" s="106">
        <f t="shared" si="341"/>
        <v>1.1188405797101448</v>
      </c>
      <c r="I131" s="106">
        <f t="shared" si="341"/>
        <v>1.0765661252900234</v>
      </c>
      <c r="J131" s="106">
        <f t="shared" si="341"/>
        <v>1.0428265524625266</v>
      </c>
      <c r="K131" s="106">
        <f t="shared" si="341"/>
        <v>0.54719562243502051</v>
      </c>
      <c r="L131" s="106">
        <f t="shared" si="341"/>
        <v>0.44733242134062934</v>
      </c>
      <c r="M131" s="106">
        <f t="shared" si="341"/>
        <v>0.32290502793296083</v>
      </c>
      <c r="N131" s="106">
        <f t="shared" si="341"/>
        <v>0.32285115303983236</v>
      </c>
      <c r="O131" s="106">
        <f t="shared" si="341"/>
        <v>0.40141467727674618</v>
      </c>
      <c r="P131" s="106">
        <f t="shared" si="341"/>
        <v>0.37807183364839325</v>
      </c>
      <c r="Q131" s="106">
        <f t="shared" si="341"/>
        <v>0.53125</v>
      </c>
      <c r="R131" s="106">
        <f t="shared" si="342"/>
        <v>0.59746434231378753</v>
      </c>
      <c r="S131" s="106">
        <f t="shared" si="342"/>
        <v>0.63091482649842279</v>
      </c>
      <c r="T131" s="106">
        <f t="shared" si="342"/>
        <v>0.71604938271604945</v>
      </c>
      <c r="U131" s="106">
        <f t="shared" si="342"/>
        <v>0.60507446221731942</v>
      </c>
      <c r="V131" s="106">
        <f t="shared" si="342"/>
        <v>0.58878968253968256</v>
      </c>
      <c r="W131" s="106">
        <f t="shared" si="342"/>
        <v>0.48974854932301737</v>
      </c>
      <c r="X131" s="106">
        <f t="shared" si="342"/>
        <v>0.4160671462829737</v>
      </c>
      <c r="Y131" s="106">
        <f t="shared" si="342"/>
        <v>0.38900343642611679</v>
      </c>
      <c r="Z131" s="106">
        <f t="shared" si="342"/>
        <v>0.40524508273493609</v>
      </c>
      <c r="AA131" s="106">
        <f t="shared" si="342"/>
        <v>0.516748896390548</v>
      </c>
      <c r="AB131" s="106">
        <f t="shared" si="343"/>
        <v>0.51905165114309915</v>
      </c>
      <c r="AC131" s="106">
        <f t="shared" si="343"/>
        <v>0.5922810489856507</v>
      </c>
      <c r="AD131" s="106">
        <f t="shared" si="343"/>
        <v>0.55765385469895579</v>
      </c>
      <c r="AE131" s="106">
        <f t="shared" si="343"/>
        <v>0.5081321691491183</v>
      </c>
      <c r="AF131" s="106">
        <f t="shared" si="343"/>
        <v>0.49238201412114457</v>
      </c>
      <c r="AG131" s="106">
        <f t="shared" si="343"/>
        <v>0.44825978868862637</v>
      </c>
      <c r="AH131" s="106">
        <f t="shared" si="343"/>
        <v>0.47311367850520614</v>
      </c>
      <c r="AI131" s="106">
        <f t="shared" si="343"/>
        <v>0.47258485639686687</v>
      </c>
      <c r="AJ131" s="106">
        <f t="shared" si="343"/>
        <v>0.48979083665338652</v>
      </c>
      <c r="AK131" s="106">
        <f t="shared" si="343"/>
        <v>0.41948288810213485</v>
      </c>
      <c r="AL131" s="106">
        <f t="shared" si="344"/>
        <v>0.32910534469403574</v>
      </c>
      <c r="AM131" s="106">
        <f t="shared" si="344"/>
        <v>0.30388529139685483</v>
      </c>
      <c r="AN131" s="106">
        <f t="shared" si="344"/>
        <v>0.25998662878154777</v>
      </c>
      <c r="AO131" s="106">
        <f t="shared" si="344"/>
        <v>0.2762451817700855</v>
      </c>
      <c r="AP131" s="106">
        <f t="shared" si="344"/>
        <v>0.2859328331026445</v>
      </c>
      <c r="AQ131" s="106">
        <f t="shared" si="344"/>
        <v>0.2464230814709707</v>
      </c>
      <c r="AR131" s="106">
        <f t="shared" si="344"/>
        <v>0.17642767128739134</v>
      </c>
      <c r="AS131" s="106">
        <f t="shared" si="344"/>
        <v>0.10665640175293145</v>
      </c>
      <c r="AT131" s="106">
        <f t="shared" si="344"/>
        <v>0.21629277135735325</v>
      </c>
      <c r="AU131" s="106">
        <f t="shared" si="344"/>
        <v>0.33156247035385644</v>
      </c>
      <c r="AV131" s="106">
        <f t="shared" si="345"/>
        <v>0.47550318543158365</v>
      </c>
      <c r="AW131" s="106">
        <f t="shared" si="345"/>
        <v>0.5560014983678494</v>
      </c>
      <c r="AX131" s="106">
        <f t="shared" si="345"/>
        <v>0.35118770377270603</v>
      </c>
      <c r="AY131" s="106">
        <f t="shared" si="345"/>
        <v>0.19945141065830718</v>
      </c>
      <c r="AZ131" s="106">
        <f t="shared" si="345"/>
        <v>6.6371174200450911E-2</v>
      </c>
      <c r="BA131" s="106">
        <f t="shared" si="345"/>
        <v>-8.7698180692643568E-3</v>
      </c>
      <c r="BB131" s="106">
        <f t="shared" si="345"/>
        <v>-4.4674250258531556E-2</v>
      </c>
      <c r="BC131" s="106">
        <f t="shared" si="345"/>
        <v>-4.4726916337501144E-2</v>
      </c>
      <c r="BD131" s="106">
        <f t="shared" si="345"/>
        <v>2.6408198366060009E-2</v>
      </c>
      <c r="BE131" s="106">
        <f t="shared" si="345"/>
        <v>0.11022829782804799</v>
      </c>
      <c r="BF131" s="106">
        <f t="shared" si="345"/>
        <v>0.23208486685429741</v>
      </c>
      <c r="BG131" s="106">
        <f t="shared" si="345"/>
        <v>0.24703870666873939</v>
      </c>
      <c r="BH131" s="106">
        <f t="shared" si="345"/>
        <v>0.27264793157619138</v>
      </c>
      <c r="BI131" s="106">
        <f t="shared" si="345"/>
        <v>0.2210069064658271</v>
      </c>
      <c r="BJ131" s="106">
        <f t="shared" si="345"/>
        <v>0.18868974404029748</v>
      </c>
      <c r="BK131" s="106">
        <f>+(1+BK135)*(1+BK650)-1</f>
        <v>0.16792115626627435</v>
      </c>
      <c r="BL131" s="106">
        <f>+(1+BL135)*(1+BL650)-1</f>
        <v>0.13266199736972406</v>
      </c>
      <c r="BM131" s="106">
        <f>+(1+BM135)*(1+BM650)-1</f>
        <v>0.13132067124224767</v>
      </c>
      <c r="BN131" s="106">
        <f>+(1+BN135)*(1+BN650)-1</f>
        <v>0.12438373178775142</v>
      </c>
      <c r="BO131" s="106">
        <f>+(1+BO135)*(1+BO650)-1</f>
        <v>0.12984251149553572</v>
      </c>
      <c r="BP131" s="106"/>
      <c r="BQ131" s="106"/>
      <c r="BR131" s="106">
        <f t="shared" ref="BR131:CI131" si="349">+BR126/BQ126-1</f>
        <v>0.77777777777777768</v>
      </c>
      <c r="BS131" s="106">
        <f t="shared" si="349"/>
        <v>1.8566176470588234</v>
      </c>
      <c r="BT131" s="106">
        <f t="shared" si="349"/>
        <v>1.5405405405405403</v>
      </c>
      <c r="BU131" s="106">
        <f t="shared" si="349"/>
        <v>0.87993920972644379</v>
      </c>
      <c r="BV131" s="106">
        <f t="shared" si="349"/>
        <v>0.37132848288870934</v>
      </c>
      <c r="BW131" s="106">
        <f t="shared" si="349"/>
        <v>0.5468657889565729</v>
      </c>
      <c r="BX131" s="106">
        <f t="shared" si="349"/>
        <v>0.58358739837398366</v>
      </c>
      <c r="BY131" s="106">
        <f t="shared" si="349"/>
        <v>0.43807155462858982</v>
      </c>
      <c r="BZ131" s="106">
        <f t="shared" si="349"/>
        <v>0.54169688179840469</v>
      </c>
      <c r="CA131" s="106">
        <f t="shared" si="349"/>
        <v>0.47090961719371882</v>
      </c>
      <c r="CB131" s="106">
        <f t="shared" si="349"/>
        <v>0.37352716896661997</v>
      </c>
      <c r="CC131" s="106">
        <f t="shared" si="349"/>
        <v>0.26610910132884413</v>
      </c>
      <c r="CD131" s="106">
        <f t="shared" si="349"/>
        <v>0.21597804715900248</v>
      </c>
      <c r="CE131" s="106">
        <f t="shared" si="349"/>
        <v>0.37180978526394148</v>
      </c>
      <c r="CF131" s="106">
        <f t="shared" si="349"/>
        <v>-1.1193175554782941E-2</v>
      </c>
      <c r="CG131" s="106">
        <f t="shared" si="349"/>
        <v>0.15686610810486323</v>
      </c>
      <c r="CH131" s="106">
        <f t="shared" si="349"/>
        <v>0.20800798733142489</v>
      </c>
      <c r="CI131" s="106">
        <f t="shared" si="349"/>
        <v>0.129468012745938</v>
      </c>
    </row>
    <row r="132" spans="2:87" x14ac:dyDescent="0.2">
      <c r="AX132" s="99"/>
    </row>
    <row r="133" spans="2:87" x14ac:dyDescent="0.2">
      <c r="B133" s="62" t="s">
        <v>273</v>
      </c>
      <c r="AH133" s="99"/>
      <c r="AI133" s="99"/>
      <c r="AJ133" s="99"/>
      <c r="AK133" s="99"/>
    </row>
    <row r="134" spans="2:87" s="76" customFormat="1" ht="13.5" x14ac:dyDescent="0.35">
      <c r="B134" s="60" t="s">
        <v>212</v>
      </c>
      <c r="C134" s="106"/>
      <c r="D134" s="106"/>
      <c r="E134" s="106"/>
      <c r="F134" s="106"/>
      <c r="G134" s="106"/>
      <c r="H134" s="106"/>
      <c r="I134" s="106"/>
      <c r="J134" s="106"/>
      <c r="K134" s="106"/>
      <c r="L134" s="108">
        <f>+(L124-L157)/H124-1</f>
        <v>0.3924646781789638</v>
      </c>
      <c r="M134" s="108">
        <f t="shared" ref="M134:BJ134" si="350">+(M124-M157)/I124-1</f>
        <v>0.32087628865979378</v>
      </c>
      <c r="N134" s="108">
        <f t="shared" si="350"/>
        <v>0.42606516290726826</v>
      </c>
      <c r="O134" s="108">
        <f t="shared" si="350"/>
        <v>0.4337221633085897</v>
      </c>
      <c r="P134" s="108">
        <f t="shared" si="350"/>
        <v>0.4311926605504588</v>
      </c>
      <c r="Q134" s="108">
        <f t="shared" si="350"/>
        <v>0.625</v>
      </c>
      <c r="R134" s="108">
        <f t="shared" si="350"/>
        <v>0.65837937384898715</v>
      </c>
      <c r="S134" s="108">
        <f t="shared" si="350"/>
        <v>0.76523702031602703</v>
      </c>
      <c r="T134" s="108">
        <f t="shared" si="350"/>
        <v>0.82650602409638552</v>
      </c>
      <c r="U134" s="108">
        <f t="shared" si="350"/>
        <v>0.65478424015009384</v>
      </c>
      <c r="V134" s="108">
        <f t="shared" si="350"/>
        <v>0.63292547274749711</v>
      </c>
      <c r="W134" s="108">
        <f t="shared" si="350"/>
        <v>0.57721843003412965</v>
      </c>
      <c r="X134" s="108">
        <f t="shared" si="350"/>
        <v>0.54746136865342154</v>
      </c>
      <c r="Y134" s="108">
        <f t="shared" si="350"/>
        <v>0.55418535127055302</v>
      </c>
      <c r="Z134" s="108">
        <f t="shared" si="350"/>
        <v>0.56949611092323305</v>
      </c>
      <c r="AA134" s="108">
        <f t="shared" si="350"/>
        <v>0.65804117974401777</v>
      </c>
      <c r="AB134" s="108">
        <f t="shared" si="350"/>
        <v>0.62888151944528192</v>
      </c>
      <c r="AC134" s="108">
        <f t="shared" si="350"/>
        <v>0.63051998954794874</v>
      </c>
      <c r="AD134" s="108">
        <f t="shared" si="350"/>
        <v>0.59269597580832745</v>
      </c>
      <c r="AE134" s="108">
        <f t="shared" si="350"/>
        <v>0.536987759446514</v>
      </c>
      <c r="AF134" s="108">
        <f t="shared" si="350"/>
        <v>0.51490098058065747</v>
      </c>
      <c r="AG134" s="108">
        <f t="shared" si="350"/>
        <v>0.49142490783779458</v>
      </c>
      <c r="AH134" s="108">
        <f t="shared" si="350"/>
        <v>0.46919014084507049</v>
      </c>
      <c r="AI134" s="108">
        <f t="shared" si="350"/>
        <v>0.44304090856414424</v>
      </c>
      <c r="AJ134" s="108">
        <f t="shared" si="350"/>
        <v>0.43311696576301384</v>
      </c>
      <c r="AK134" s="108">
        <f t="shared" si="350"/>
        <v>0.38225665648188567</v>
      </c>
      <c r="AL134" s="108">
        <f t="shared" si="350"/>
        <v>0.3506211792545848</v>
      </c>
      <c r="AM134" s="108">
        <f t="shared" si="350"/>
        <v>0.32936849518741695</v>
      </c>
      <c r="AN134" s="108">
        <f t="shared" si="350"/>
        <v>0.30690970750317925</v>
      </c>
      <c r="AO134" s="108">
        <f t="shared" si="350"/>
        <v>0.31891394385641969</v>
      </c>
      <c r="AP134" s="108">
        <f t="shared" si="350"/>
        <v>0.3057094320112268</v>
      </c>
      <c r="AQ134" s="108">
        <f t="shared" si="350"/>
        <v>0.26382211538461542</v>
      </c>
      <c r="AR134" s="108">
        <f t="shared" si="350"/>
        <v>0.1879023605150214</v>
      </c>
      <c r="AS134" s="108">
        <f t="shared" si="350"/>
        <v>0.11982675649663133</v>
      </c>
      <c r="AT134" s="108">
        <f t="shared" si="350"/>
        <v>0.20824943910717364</v>
      </c>
      <c r="AU134" s="108">
        <f t="shared" si="350"/>
        <v>0.29509066358024683</v>
      </c>
      <c r="AV134" s="108">
        <f t="shared" si="350"/>
        <v>0.41880733944954129</v>
      </c>
      <c r="AW134" s="108">
        <f t="shared" si="350"/>
        <v>0.50674089842257519</v>
      </c>
      <c r="AX134" s="108">
        <f t="shared" si="350"/>
        <v>0.32720727548313766</v>
      </c>
      <c r="AY134" s="108">
        <f t="shared" si="350"/>
        <v>0.21179240077978445</v>
      </c>
      <c r="AZ134" s="108">
        <f t="shared" si="350"/>
        <v>9.6190888006604025E-2</v>
      </c>
      <c r="BA134" s="108">
        <f t="shared" si="350"/>
        <v>2.8936319104268637E-2</v>
      </c>
      <c r="BB134" s="108">
        <f t="shared" si="350"/>
        <v>2.6064507002404813E-2</v>
      </c>
      <c r="BC134" s="108">
        <f t="shared" si="350"/>
        <v>1.8137810594687442E-2</v>
      </c>
      <c r="BD134" s="108">
        <f t="shared" si="350"/>
        <v>7.0708941403066827E-2</v>
      </c>
      <c r="BE134" s="108">
        <f t="shared" si="350"/>
        <v>0.12841005967604424</v>
      </c>
      <c r="BF134" s="108">
        <f t="shared" si="350"/>
        <v>0.21151374967874581</v>
      </c>
      <c r="BG134" s="108">
        <f t="shared" si="350"/>
        <v>0.2125487937543995</v>
      </c>
      <c r="BH134" s="108">
        <f t="shared" si="350"/>
        <v>0.26436781609195403</v>
      </c>
      <c r="BI134" s="108">
        <f t="shared" si="350"/>
        <v>0.22852244586957893</v>
      </c>
      <c r="BJ134" s="108">
        <f t="shared" si="350"/>
        <v>0.20152780667598025</v>
      </c>
      <c r="BK134" s="108">
        <f>+(BK124-BK157)/BG124-1</f>
        <v>0.18276588411746753</v>
      </c>
      <c r="BL134" s="108">
        <f t="shared" ref="BL134:BO134" si="351">+(BL124-BL157)/BH124-1</f>
        <v>0.16888837491873687</v>
      </c>
      <c r="BM134" s="108">
        <f t="shared" si="351"/>
        <v>0.15890321199720492</v>
      </c>
      <c r="BN134" s="108">
        <f t="shared" si="351"/>
        <v>0.15889420999607329</v>
      </c>
      <c r="BO134" s="108">
        <f t="shared" si="351"/>
        <v>0.14806427707463765</v>
      </c>
      <c r="BP134" s="108"/>
      <c r="BQ134" s="108"/>
      <c r="BR134" s="108"/>
      <c r="BS134" s="108"/>
      <c r="BT134" s="108"/>
      <c r="BU134" s="108"/>
      <c r="BV134" s="108">
        <f>+IFERROR((BV124-BV157)/BU124-1,"n/a")</f>
        <v>0.39568801521876984</v>
      </c>
      <c r="BW134" s="108">
        <f t="shared" ref="BW134:CI134" si="352">+IFERROR((BW124-BW157)/BV124-1,"n/a")</f>
        <v>0.63753213367609263</v>
      </c>
      <c r="BX134" s="108">
        <f t="shared" si="352"/>
        <v>0.65373604351560255</v>
      </c>
      <c r="BY134" s="108">
        <f t="shared" si="352"/>
        <v>0.58927949878176134</v>
      </c>
      <c r="BZ134" s="108">
        <f t="shared" si="352"/>
        <v>0.58981264637002351</v>
      </c>
      <c r="CA134" s="108">
        <f t="shared" si="352"/>
        <v>0.4748000743909242</v>
      </c>
      <c r="CB134" s="108">
        <f t="shared" si="352"/>
        <v>0.36730759601422069</v>
      </c>
      <c r="CC134" s="108">
        <f t="shared" si="352"/>
        <v>0.29642623427615789</v>
      </c>
      <c r="CD134" s="108">
        <f t="shared" si="352"/>
        <v>0.20864259564998933</v>
      </c>
      <c r="CE134" s="108">
        <f t="shared" si="352"/>
        <v>0.34801332381632166</v>
      </c>
      <c r="CF134" s="108">
        <f t="shared" si="352"/>
        <v>4.0049071641115708E-2</v>
      </c>
      <c r="CG134" s="108">
        <f t="shared" si="352"/>
        <v>0.15775996339349363</v>
      </c>
      <c r="CH134" s="108">
        <f t="shared" si="352"/>
        <v>0.21585121646899319</v>
      </c>
      <c r="CI134" s="108">
        <f t="shared" si="352"/>
        <v>0.15805148588844564</v>
      </c>
    </row>
    <row r="135" spans="2:87" s="76" customFormat="1" x14ac:dyDescent="0.2">
      <c r="B135" s="101" t="s">
        <v>248</v>
      </c>
      <c r="C135" s="106"/>
      <c r="D135" s="106"/>
      <c r="E135" s="106"/>
      <c r="F135" s="106"/>
      <c r="G135" s="106"/>
      <c r="H135" s="106"/>
      <c r="I135" s="106"/>
      <c r="J135" s="106"/>
      <c r="K135" s="106"/>
      <c r="L135" s="106">
        <f t="shared" ref="L135:AQ135" si="353">+(L126-L159)/H126-1</f>
        <v>0.46785225718194257</v>
      </c>
      <c r="M135" s="106">
        <f t="shared" si="353"/>
        <v>0.35977653631284912</v>
      </c>
      <c r="N135" s="106">
        <f t="shared" si="353"/>
        <v>0.37735849056603765</v>
      </c>
      <c r="O135" s="106">
        <f t="shared" si="353"/>
        <v>0.42175066312997345</v>
      </c>
      <c r="P135" s="106">
        <f t="shared" si="353"/>
        <v>0.38185255198487722</v>
      </c>
      <c r="Q135" s="106">
        <f t="shared" si="353"/>
        <v>0.54222972972972983</v>
      </c>
      <c r="R135" s="106">
        <f t="shared" si="353"/>
        <v>0.59904912836767044</v>
      </c>
      <c r="S135" s="106">
        <f t="shared" si="353"/>
        <v>0.63217665615141949</v>
      </c>
      <c r="T135" s="106">
        <f t="shared" si="353"/>
        <v>0.72222222222222232</v>
      </c>
      <c r="U135" s="106">
        <f t="shared" si="353"/>
        <v>0.58852730281301713</v>
      </c>
      <c r="V135" s="106">
        <f t="shared" si="353"/>
        <v>0.57837301587301582</v>
      </c>
      <c r="W135" s="106">
        <f t="shared" si="353"/>
        <v>0.5295938104448743</v>
      </c>
      <c r="X135" s="106">
        <f t="shared" si="353"/>
        <v>0.49120703437250191</v>
      </c>
      <c r="Y135" s="106">
        <f t="shared" si="353"/>
        <v>0.50309278350515463</v>
      </c>
      <c r="Z135" s="106">
        <f t="shared" si="353"/>
        <v>0.51201998126756165</v>
      </c>
      <c r="AA135" s="106">
        <f t="shared" si="353"/>
        <v>0.60036354193715913</v>
      </c>
      <c r="AB135" s="106">
        <f t="shared" si="353"/>
        <v>0.57606548123059564</v>
      </c>
      <c r="AC135" s="106">
        <f t="shared" si="353"/>
        <v>0.59252845126175169</v>
      </c>
      <c r="AD135" s="106">
        <f t="shared" si="353"/>
        <v>0.5645412130637637</v>
      </c>
      <c r="AE135" s="106">
        <f t="shared" si="353"/>
        <v>0.51429549734634472</v>
      </c>
      <c r="AF135" s="106">
        <f t="shared" si="353"/>
        <v>0.49646971386101812</v>
      </c>
      <c r="AG135" s="106">
        <f t="shared" si="353"/>
        <v>0.47016780609073949</v>
      </c>
      <c r="AH135" s="106">
        <f t="shared" si="353"/>
        <v>0.45485665382969609</v>
      </c>
      <c r="AI135" s="106">
        <f t="shared" si="353"/>
        <v>0.43523668974912022</v>
      </c>
      <c r="AJ135" s="106">
        <f t="shared" si="353"/>
        <v>0.42305776892430269</v>
      </c>
      <c r="AK135" s="106">
        <f t="shared" si="353"/>
        <v>0.37946572256195688</v>
      </c>
      <c r="AL135" s="106">
        <f t="shared" si="353"/>
        <v>0.34450038729666921</v>
      </c>
      <c r="AM135" s="106">
        <f t="shared" si="353"/>
        <v>0.33078939253777362</v>
      </c>
      <c r="AN135" s="106">
        <f t="shared" si="353"/>
        <v>0.30202239679090748</v>
      </c>
      <c r="AO135" s="106">
        <f t="shared" si="353"/>
        <v>0.31962814602070888</v>
      </c>
      <c r="AP135" s="106">
        <f t="shared" si="353"/>
        <v>0.30756902455015656</v>
      </c>
      <c r="AQ135" s="106">
        <f t="shared" si="353"/>
        <v>0.26386425446375794</v>
      </c>
      <c r="AR135" s="106">
        <f t="shared" ref="AR135:BJ135" si="354">+(AR126-AR159)/AN126-1</f>
        <v>0.19466737414605029</v>
      </c>
      <c r="AS135" s="106">
        <f t="shared" si="354"/>
        <v>0.1242449366338978</v>
      </c>
      <c r="AT135" s="106">
        <f t="shared" si="354"/>
        <v>0.20983457965103103</v>
      </c>
      <c r="AU135" s="106">
        <f t="shared" si="354"/>
        <v>0.31548240204914135</v>
      </c>
      <c r="AV135" s="106">
        <f t="shared" si="354"/>
        <v>0.4356993854654112</v>
      </c>
      <c r="AW135" s="106">
        <f t="shared" si="354"/>
        <v>0.50345159736715361</v>
      </c>
      <c r="AX135" s="106">
        <f t="shared" si="354"/>
        <v>0.339124359571495</v>
      </c>
      <c r="AY135" s="106">
        <f t="shared" si="354"/>
        <v>0.21038757480763759</v>
      </c>
      <c r="AZ135" s="106">
        <f t="shared" si="354"/>
        <v>0.10049291200183408</v>
      </c>
      <c r="BA135" s="106">
        <f t="shared" si="354"/>
        <v>3.4666574956150997E-2</v>
      </c>
      <c r="BB135" s="106">
        <f t="shared" si="354"/>
        <v>1.6994139951740816E-2</v>
      </c>
      <c r="BC135" s="106">
        <f t="shared" si="354"/>
        <v>1.5027768703038236E-2</v>
      </c>
      <c r="BD135" s="106">
        <f t="shared" si="354"/>
        <v>5.5647126272036607E-2</v>
      </c>
      <c r="BE135" s="106">
        <f t="shared" si="354"/>
        <v>0.11973492471029079</v>
      </c>
      <c r="BF135" s="106">
        <f t="shared" si="354"/>
        <v>0.20873926535325116</v>
      </c>
      <c r="BG135" s="106">
        <f t="shared" si="354"/>
        <v>0.22166951655526201</v>
      </c>
      <c r="BH135" s="106">
        <f t="shared" si="354"/>
        <v>0.26894746028975391</v>
      </c>
      <c r="BI135" s="106">
        <f t="shared" si="354"/>
        <v>0.23260101878183703</v>
      </c>
      <c r="BJ135" s="106">
        <f t="shared" si="354"/>
        <v>0.2046213319276049</v>
      </c>
      <c r="BK135" s="138">
        <v>0.18</v>
      </c>
      <c r="BL135" s="138">
        <v>0.17</v>
      </c>
      <c r="BM135" s="138">
        <v>0.16</v>
      </c>
      <c r="BN135" s="138">
        <v>0.16</v>
      </c>
      <c r="BO135" s="138">
        <v>0.15</v>
      </c>
      <c r="BP135" s="106"/>
      <c r="BQ135" s="106"/>
      <c r="BR135" s="106"/>
      <c r="BS135" s="106"/>
      <c r="BT135" s="106"/>
      <c r="BU135" s="106"/>
      <c r="BV135" s="106">
        <f>+IFERROR((BV126-BV159)/BU126-1,"n/a")</f>
        <v>0.40447318781999453</v>
      </c>
      <c r="BW135" s="106">
        <f t="shared" ref="BW135:CG135" si="355">+IFERROR((BW126-BW159)/BV126-1,"n/a")</f>
        <v>0.55099233641186873</v>
      </c>
      <c r="BX135" s="106">
        <f t="shared" si="355"/>
        <v>0.59133638211382111</v>
      </c>
      <c r="BY135" s="106">
        <f t="shared" si="355"/>
        <v>0.53304989571634853</v>
      </c>
      <c r="BZ135" s="106">
        <f t="shared" si="355"/>
        <v>0.55675796284933332</v>
      </c>
      <c r="CA135" s="106">
        <f t="shared" si="355"/>
        <v>0.46027208915261597</v>
      </c>
      <c r="CB135" s="106">
        <f t="shared" si="355"/>
        <v>0.36366319828794924</v>
      </c>
      <c r="CC135" s="106">
        <f t="shared" si="355"/>
        <v>0.29599914037035702</v>
      </c>
      <c r="CD135" s="106">
        <f t="shared" si="355"/>
        <v>0.21766128690043418</v>
      </c>
      <c r="CE135" s="106">
        <f t="shared" si="355"/>
        <v>0.35273247562990018</v>
      </c>
      <c r="CF135" s="106">
        <f t="shared" si="355"/>
        <v>3.9320268975400419E-2</v>
      </c>
      <c r="CG135" s="106">
        <f t="shared" si="355"/>
        <v>0.15366738416417247</v>
      </c>
      <c r="CH135" s="106">
        <f>+(CH126-CH159)/CG126-1</f>
        <v>0.21759645962594809</v>
      </c>
      <c r="CI135" s="106">
        <f>+(CI126-CI159)/CH126-1</f>
        <v>0.15936233488132623</v>
      </c>
    </row>
    <row r="136" spans="2:87" s="76" customFormat="1" x14ac:dyDescent="0.2">
      <c r="B136" s="101"/>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06"/>
      <c r="AK136" s="106"/>
      <c r="AL136" s="106"/>
      <c r="AM136" s="106"/>
      <c r="AN136" s="106"/>
      <c r="AO136" s="106"/>
      <c r="AP136" s="106"/>
      <c r="AQ136" s="106"/>
      <c r="AR136" s="106"/>
      <c r="AS136" s="106"/>
      <c r="AT136" s="106"/>
      <c r="AU136" s="106"/>
      <c r="AV136" s="106"/>
      <c r="AW136" s="106"/>
      <c r="AX136" s="106"/>
      <c r="AY136" s="106"/>
      <c r="AZ136" s="106"/>
      <c r="BA136" s="106"/>
      <c r="BB136" s="106"/>
      <c r="BC136" s="106"/>
      <c r="BD136" s="106"/>
      <c r="BE136" s="106"/>
      <c r="BF136" s="106"/>
      <c r="BG136" s="106"/>
      <c r="BH136" s="106"/>
      <c r="BI136" s="106"/>
      <c r="BJ136" s="106"/>
      <c r="BK136" s="106"/>
      <c r="BL136" s="106"/>
      <c r="BM136" s="106"/>
      <c r="BN136" s="106"/>
      <c r="BO136" s="106"/>
      <c r="BP136" s="106"/>
      <c r="BQ136" s="106"/>
      <c r="BR136" s="106"/>
      <c r="BS136" s="106"/>
      <c r="BT136" s="106"/>
      <c r="BU136" s="106"/>
      <c r="BV136" s="106"/>
      <c r="BW136" s="106"/>
      <c r="BX136" s="106"/>
      <c r="BY136" s="106"/>
      <c r="BZ136" s="106"/>
      <c r="CA136" s="106"/>
      <c r="CB136" s="106"/>
      <c r="CC136" s="106"/>
      <c r="CD136" s="106"/>
      <c r="CE136" s="57"/>
      <c r="CF136" s="57"/>
      <c r="CG136" s="57"/>
      <c r="CH136" s="57"/>
      <c r="CI136" s="57"/>
    </row>
    <row r="137" spans="2:87" s="76" customFormat="1" x14ac:dyDescent="0.2">
      <c r="B137" s="62" t="s">
        <v>272</v>
      </c>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6"/>
      <c r="AU137" s="106"/>
      <c r="AV137" s="106"/>
      <c r="AW137" s="106"/>
      <c r="AX137" s="106"/>
      <c r="AY137" s="106"/>
      <c r="AZ137" s="106"/>
      <c r="BA137" s="106"/>
      <c r="BB137" s="106"/>
      <c r="BC137" s="106"/>
      <c r="BD137" s="106"/>
      <c r="BE137" s="106"/>
      <c r="BF137" s="106"/>
      <c r="BG137" s="106"/>
      <c r="BH137" s="106"/>
      <c r="BI137" s="106"/>
      <c r="BJ137" s="106"/>
      <c r="BK137" s="106"/>
      <c r="BL137" s="106"/>
      <c r="BM137" s="106"/>
      <c r="BN137" s="106"/>
      <c r="BO137" s="106"/>
      <c r="BP137" s="106"/>
      <c r="BQ137" s="106"/>
      <c r="BR137" s="106"/>
      <c r="BS137" s="106"/>
      <c r="BT137" s="106"/>
      <c r="BU137" s="106"/>
      <c r="BV137" s="106"/>
      <c r="BW137" s="106"/>
      <c r="BX137" s="106"/>
      <c r="BY137" s="106"/>
      <c r="BZ137" s="106"/>
      <c r="CA137" s="106"/>
      <c r="CB137" s="106"/>
      <c r="CC137" s="106"/>
      <c r="CD137" s="106"/>
      <c r="CE137" s="57"/>
      <c r="CF137" s="57"/>
      <c r="CG137" s="57"/>
      <c r="CH137" s="57"/>
      <c r="CI137" s="57"/>
    </row>
    <row r="138" spans="2:87" s="76" customFormat="1" x14ac:dyDescent="0.2">
      <c r="B138" s="60" t="s">
        <v>212</v>
      </c>
      <c r="C138" s="106"/>
      <c r="D138" s="106"/>
      <c r="E138" s="106"/>
      <c r="F138" s="106"/>
      <c r="G138" s="106"/>
      <c r="H138" s="106"/>
      <c r="I138" s="106"/>
      <c r="J138" s="106"/>
      <c r="K138" s="106"/>
      <c r="L138" s="106">
        <f t="shared" ref="L138:U140" si="356">+(L124/D124)^0.5-1</f>
        <v>0.60146991303394182</v>
      </c>
      <c r="M138" s="106">
        <f t="shared" si="356"/>
        <v>0.52958250562348996</v>
      </c>
      <c r="N138" s="106">
        <f t="shared" si="356"/>
        <v>0.55349069303080589</v>
      </c>
      <c r="O138" s="106">
        <f t="shared" si="356"/>
        <v>0.42443238996724109</v>
      </c>
      <c r="P138" s="106">
        <f t="shared" si="356"/>
        <v>0.39802507035147272</v>
      </c>
      <c r="Q138" s="106">
        <f t="shared" si="356"/>
        <v>0.43546752325131965</v>
      </c>
      <c r="R138" s="106">
        <f t="shared" si="356"/>
        <v>0.50104391410784532</v>
      </c>
      <c r="S138" s="106">
        <f t="shared" si="356"/>
        <v>0.57660520970681017</v>
      </c>
      <c r="T138" s="106">
        <f t="shared" si="356"/>
        <v>0.61166903060776834</v>
      </c>
      <c r="U138" s="106">
        <f t="shared" si="356"/>
        <v>0.64243132129209313</v>
      </c>
      <c r="V138" s="106">
        <f t="shared" ref="V138:AE140" si="357">+(V124/N124)^0.5-1</f>
        <v>0.65010184405820004</v>
      </c>
      <c r="W138" s="106">
        <f t="shared" si="357"/>
        <v>0.64447223723963143</v>
      </c>
      <c r="X138" s="106">
        <f t="shared" si="357"/>
        <v>0.63225519699354904</v>
      </c>
      <c r="Y138" s="106">
        <f t="shared" si="357"/>
        <v>0.54705231223300621</v>
      </c>
      <c r="Z138" s="106">
        <f t="shared" si="357"/>
        <v>0.54628263550895806</v>
      </c>
      <c r="AA138" s="106">
        <f t="shared" si="357"/>
        <v>0.5507622258839906</v>
      </c>
      <c r="AB138" s="106">
        <f t="shared" si="357"/>
        <v>0.5153373355850841</v>
      </c>
      <c r="AC138" s="106">
        <f t="shared" si="357"/>
        <v>0.52691351193991776</v>
      </c>
      <c r="AD138" s="106">
        <f t="shared" si="357"/>
        <v>0.51823545300709872</v>
      </c>
      <c r="AE138" s="106">
        <f t="shared" si="357"/>
        <v>0.5494986354128728</v>
      </c>
      <c r="AF138" s="106">
        <f t="shared" ref="AF138:AO140" si="358">+(AF124/X124)^0.5-1</f>
        <v>0.53906031806650456</v>
      </c>
      <c r="AG138" s="106">
        <f t="shared" si="358"/>
        <v>0.54743818402163424</v>
      </c>
      <c r="AH138" s="106">
        <f t="shared" si="358"/>
        <v>0.5359535446956496</v>
      </c>
      <c r="AI138" s="106">
        <f t="shared" si="358"/>
        <v>0.5056513492350263</v>
      </c>
      <c r="AJ138" s="106">
        <f t="shared" si="358"/>
        <v>0.50593263760949703</v>
      </c>
      <c r="AK138" s="106">
        <f t="shared" si="358"/>
        <v>0.44559952062606212</v>
      </c>
      <c r="AL138" s="106">
        <f t="shared" si="358"/>
        <v>0.40938129468317297</v>
      </c>
      <c r="AM138" s="106">
        <f t="shared" si="358"/>
        <v>0.38866160049048215</v>
      </c>
      <c r="AN138" s="106">
        <f t="shared" si="358"/>
        <v>0.37765213926657126</v>
      </c>
      <c r="AO138" s="106">
        <f t="shared" si="358"/>
        <v>0.3468685896617929</v>
      </c>
      <c r="AP138" s="106">
        <f t="shared" ref="AP138:AY140" si="359">+(AP124/AH124)^0.5-1</f>
        <v>0.30918361708581887</v>
      </c>
      <c r="AQ138" s="106">
        <f t="shared" si="359"/>
        <v>0.27383757996822</v>
      </c>
      <c r="AR138" s="106">
        <f t="shared" si="359"/>
        <v>0.21597394050745078</v>
      </c>
      <c r="AS138" s="106">
        <f t="shared" si="359"/>
        <v>0.18541139866179468</v>
      </c>
      <c r="AT138" s="106">
        <f t="shared" si="359"/>
        <v>0.24873819170524913</v>
      </c>
      <c r="AU138" s="106">
        <f t="shared" si="359"/>
        <v>0.27821521451412257</v>
      </c>
      <c r="AV138" s="106">
        <f t="shared" si="359"/>
        <v>0.30611696398337562</v>
      </c>
      <c r="AW138" s="106">
        <f t="shared" si="359"/>
        <v>0.31118311267217336</v>
      </c>
      <c r="AX138" s="106">
        <f t="shared" si="359"/>
        <v>0.27540061306658448</v>
      </c>
      <c r="AY138" s="106">
        <f t="shared" si="359"/>
        <v>0.25460186862822431</v>
      </c>
      <c r="AZ138" s="106">
        <f t="shared" ref="AZ138:BJ140" si="360">+(AZ124/AR124)^0.5-1</f>
        <v>0.24420675882893206</v>
      </c>
      <c r="BA138" s="106">
        <f t="shared" si="360"/>
        <v>0.23959563862832689</v>
      </c>
      <c r="BB138" s="106">
        <f t="shared" si="360"/>
        <v>0.13583421474932922</v>
      </c>
      <c r="BC138" s="106">
        <f t="shared" si="360"/>
        <v>7.2191007117460293E-2</v>
      </c>
      <c r="BD138" s="106">
        <f t="shared" si="360"/>
        <v>5.1019732490703573E-2</v>
      </c>
      <c r="BE138" s="106">
        <f t="shared" si="360"/>
        <v>4.980920656514698E-2</v>
      </c>
      <c r="BF138" s="106">
        <f t="shared" si="360"/>
        <v>9.0783026405610201E-2</v>
      </c>
      <c r="BG138" s="106">
        <f t="shared" si="360"/>
        <v>8.8982056969706402E-2</v>
      </c>
      <c r="BH138" s="106">
        <f t="shared" si="360"/>
        <v>0.14887448666836112</v>
      </c>
      <c r="BI138" s="106">
        <f t="shared" si="360"/>
        <v>0.16683411293793515</v>
      </c>
      <c r="BJ138" s="106">
        <f t="shared" si="360"/>
        <v>0.21011087198755396</v>
      </c>
      <c r="BK138" s="106">
        <f t="shared" ref="BK138:BK140" si="361">+(BK124/BC124)^0.5-1</f>
        <v>0.20392940278033267</v>
      </c>
      <c r="BL138" s="106">
        <f t="shared" ref="BL138:BL140" si="362">+(BL124/BD124)^0.5-1</f>
        <v>0.19765130093403704</v>
      </c>
      <c r="BM138" s="106">
        <f t="shared" ref="BM138:BM140" si="363">+(BM124/BE124)^0.5-1</f>
        <v>0.17262668185947305</v>
      </c>
      <c r="BN138" s="106">
        <f t="shared" ref="BN138:BN140" si="364">+(BN124/BF124)^0.5-1</f>
        <v>0.15386978849222199</v>
      </c>
      <c r="BO138" s="106">
        <f t="shared" ref="BO138:BO140" si="365">+(BO124/BG124)^0.5-1</f>
        <v>0.14871722100553897</v>
      </c>
      <c r="BP138" s="106"/>
      <c r="BQ138" s="106"/>
      <c r="BR138" s="106"/>
      <c r="BS138" s="106">
        <f t="shared" ref="BS138:CI138" si="366">+(BS124/BQ124)^0.5-1</f>
        <v>1.2346060172405293</v>
      </c>
      <c r="BT138" s="106">
        <f t="shared" si="366"/>
        <v>1.6213209512403788</v>
      </c>
      <c r="BU138" s="106">
        <f t="shared" si="366"/>
        <v>1.0318150140475142</v>
      </c>
      <c r="BV138" s="106">
        <f t="shared" si="366"/>
        <v>0.51309603266492831</v>
      </c>
      <c r="BW138" s="106">
        <f t="shared" si="366"/>
        <v>0.48827588962950852</v>
      </c>
      <c r="BX138" s="106">
        <f t="shared" si="366"/>
        <v>0.63880267968699855</v>
      </c>
      <c r="BY138" s="106">
        <f t="shared" si="366"/>
        <v>0.56361433210338596</v>
      </c>
      <c r="BZ138" s="106">
        <f t="shared" si="366"/>
        <v>0.52952722528644358</v>
      </c>
      <c r="CA138" s="106">
        <f t="shared" si="366"/>
        <v>0.52922352524538874</v>
      </c>
      <c r="CB138" s="106">
        <f t="shared" si="366"/>
        <v>0.43045334212437436</v>
      </c>
      <c r="CC138" s="106">
        <f t="shared" si="366"/>
        <v>0.320569445469433</v>
      </c>
      <c r="CD138" s="106">
        <f t="shared" si="366"/>
        <v>0.23613520617523975</v>
      </c>
      <c r="CE138" s="106">
        <f t="shared" si="366"/>
        <v>0.28454141954680967</v>
      </c>
      <c r="CF138" s="106">
        <f t="shared" si="366"/>
        <v>0.16271380929774271</v>
      </c>
      <c r="CG138" s="106">
        <f t="shared" si="366"/>
        <v>7.1462917712309393E-2</v>
      </c>
      <c r="CH138" s="106">
        <f t="shared" si="366"/>
        <v>0.18341148106296568</v>
      </c>
      <c r="CI138" s="106">
        <f t="shared" si="366"/>
        <v>0.16630964119152702</v>
      </c>
    </row>
    <row r="139" spans="2:87" s="76" customFormat="1" ht="13.5" x14ac:dyDescent="0.35">
      <c r="B139" s="60" t="s">
        <v>213</v>
      </c>
      <c r="C139" s="106"/>
      <c r="D139" s="106"/>
      <c r="E139" s="106"/>
      <c r="F139" s="106"/>
      <c r="G139" s="106"/>
      <c r="H139" s="106"/>
      <c r="I139" s="106"/>
      <c r="J139" s="106"/>
      <c r="K139" s="106"/>
      <c r="L139" s="108">
        <f t="shared" si="356"/>
        <v>5.0991802727907629</v>
      </c>
      <c r="M139" s="108">
        <f t="shared" si="356"/>
        <v>4.2372293656638167</v>
      </c>
      <c r="N139" s="108">
        <f t="shared" si="356"/>
        <v>2.217598666159375</v>
      </c>
      <c r="O139" s="108">
        <f t="shared" si="356"/>
        <v>0.83532587096449418</v>
      </c>
      <c r="P139" s="108">
        <f t="shared" si="356"/>
        <v>0.50530975111719467</v>
      </c>
      <c r="Q139" s="108">
        <f t="shared" si="356"/>
        <v>0.34101429065133093</v>
      </c>
      <c r="R139" s="108">
        <f t="shared" si="356"/>
        <v>0.18213192894697561</v>
      </c>
      <c r="S139" s="108">
        <f t="shared" si="356"/>
        <v>0.13221680504089917</v>
      </c>
      <c r="T139" s="108">
        <f t="shared" si="356"/>
        <v>0.12880181980146399</v>
      </c>
      <c r="U139" s="108">
        <f t="shared" si="356"/>
        <v>0.10397010829098097</v>
      </c>
      <c r="V139" s="108">
        <f t="shared" si="357"/>
        <v>0.18225516396726849</v>
      </c>
      <c r="W139" s="108">
        <f t="shared" si="357"/>
        <v>1.9512213675874079E-3</v>
      </c>
      <c r="X139" s="108">
        <f t="shared" si="357"/>
        <v>3.0064494995223789E-2</v>
      </c>
      <c r="Y139" s="108">
        <f t="shared" si="357"/>
        <v>2.3337254608675195E-3</v>
      </c>
      <c r="Z139" s="108">
        <f t="shared" si="357"/>
        <v>-3.7396496688716585E-2</v>
      </c>
      <c r="AA139" s="108">
        <f t="shared" si="357"/>
        <v>-7.9960311157370123E-2</v>
      </c>
      <c r="AB139" s="108">
        <f t="shared" si="357"/>
        <v>-0.12609320853492823</v>
      </c>
      <c r="AC139" s="108">
        <f t="shared" si="357"/>
        <v>-8.2459623841903085E-2</v>
      </c>
      <c r="AD139" s="108">
        <f t="shared" si="357"/>
        <v>-0.10967257324663515</v>
      </c>
      <c r="AE139" s="108">
        <f t="shared" si="357"/>
        <v>-0.16310747102249401</v>
      </c>
      <c r="AF139" s="108">
        <f t="shared" si="358"/>
        <v>-0.12003620348002908</v>
      </c>
      <c r="AG139" s="108">
        <f t="shared" si="358"/>
        <v>-0.1454635419483058</v>
      </c>
      <c r="AH139" s="108">
        <f t="shared" si="358"/>
        <v>-4.0420884341514585E-2</v>
      </c>
      <c r="AI139" s="108">
        <f t="shared" si="358"/>
        <v>-2.7334368154940392E-2</v>
      </c>
      <c r="AJ139" s="108">
        <f t="shared" si="358"/>
        <v>-2.8016779354977928E-2</v>
      </c>
      <c r="AK139" s="108">
        <f t="shared" si="358"/>
        <v>-1.0204348629434867E-2</v>
      </c>
      <c r="AL139" s="108">
        <f t="shared" si="358"/>
        <v>-1.8112753875189513E-2</v>
      </c>
      <c r="AM139" s="108">
        <f t="shared" si="358"/>
        <v>0.23378370155478323</v>
      </c>
      <c r="AN139" s="108">
        <f t="shared" si="358"/>
        <v>-2.8991687544775546E-2</v>
      </c>
      <c r="AO139" s="108">
        <f t="shared" si="358"/>
        <v>0.29181647648464271</v>
      </c>
      <c r="AP139" s="108">
        <f t="shared" si="359"/>
        <v>0.2025957588232985</v>
      </c>
      <c r="AQ139" s="108">
        <f t="shared" si="359"/>
        <v>0.33893469369855267</v>
      </c>
      <c r="AR139" s="108">
        <f t="shared" si="359"/>
        <v>0.31789305532093848</v>
      </c>
      <c r="AS139" s="108">
        <f t="shared" si="359"/>
        <v>0.37708861624617995</v>
      </c>
      <c r="AT139" s="108">
        <f t="shared" si="359"/>
        <v>0.3799475784061277</v>
      </c>
      <c r="AU139" s="108">
        <f t="shared" si="359"/>
        <v>0.79719976833385719</v>
      </c>
      <c r="AV139" s="108">
        <f t="shared" si="359"/>
        <v>1.106267702919939</v>
      </c>
      <c r="AW139" s="108">
        <f t="shared" si="359"/>
        <v>0.37729683252576174</v>
      </c>
      <c r="AX139" s="108">
        <f t="shared" si="359"/>
        <v>0.65185487719593138</v>
      </c>
      <c r="AY139" s="108">
        <f t="shared" si="359"/>
        <v>0.72703762539719219</v>
      </c>
      <c r="AZ139" s="108">
        <f t="shared" si="360"/>
        <v>0.75042082482272354</v>
      </c>
      <c r="BA139" s="108">
        <f t="shared" si="360"/>
        <v>0.35299707793334689</v>
      </c>
      <c r="BB139" s="108">
        <f t="shared" si="360"/>
        <v>0.15429729040523688</v>
      </c>
      <c r="BC139" s="108">
        <f t="shared" si="360"/>
        <v>1.4582934546726101E-2</v>
      </c>
      <c r="BD139" s="108">
        <f t="shared" si="360"/>
        <v>-0.13792726588349646</v>
      </c>
      <c r="BE139" s="108">
        <f t="shared" si="360"/>
        <v>4.0160804182522991E-3</v>
      </c>
      <c r="BF139" s="108">
        <f t="shared" si="360"/>
        <v>-0.17217990871069433</v>
      </c>
      <c r="BG139" s="108">
        <f t="shared" si="360"/>
        <v>0.16680508591929422</v>
      </c>
      <c r="BH139" s="108">
        <f t="shared" si="360"/>
        <v>-5.0737706901353263E-2</v>
      </c>
      <c r="BI139" s="108">
        <f t="shared" si="360"/>
        <v>5.2360530696188734E-2</v>
      </c>
      <c r="BJ139" s="108">
        <f t="shared" si="360"/>
        <v>0.21486253762512053</v>
      </c>
      <c r="BK139" s="108">
        <f t="shared" si="361"/>
        <v>0.30249275487786531</v>
      </c>
      <c r="BL139" s="108">
        <f t="shared" si="362"/>
        <v>0.34492510178513824</v>
      </c>
      <c r="BM139" s="108">
        <f t="shared" si="363"/>
        <v>0.33313371759251353</v>
      </c>
      <c r="BN139" s="108">
        <f t="shared" si="364"/>
        <v>0.29596406694902688</v>
      </c>
      <c r="BO139" s="108">
        <f t="shared" si="365"/>
        <v>0.14891252930760568</v>
      </c>
      <c r="BP139" s="106"/>
      <c r="BQ139" s="106"/>
      <c r="BR139" s="106"/>
      <c r="BS139" s="134" t="str">
        <f t="shared" ref="BS139:CI139" si="367">+IFERROR((BS125/BQ125)^0.5-1,"n/a")</f>
        <v>n/a</v>
      </c>
      <c r="BT139" s="134" t="str">
        <f t="shared" si="367"/>
        <v>n/a</v>
      </c>
      <c r="BU139" s="134">
        <f t="shared" si="367"/>
        <v>5.5456973536937868</v>
      </c>
      <c r="BV139" s="134">
        <f t="shared" si="367"/>
        <v>1.7774602993176543</v>
      </c>
      <c r="BW139" s="134">
        <f t="shared" si="367"/>
        <v>0.26121539512110492</v>
      </c>
      <c r="BX139" s="134">
        <f t="shared" si="367"/>
        <v>9.6571537020029075E-2</v>
      </c>
      <c r="BY139" s="134">
        <f t="shared" si="367"/>
        <v>-2.2256709913458406E-2</v>
      </c>
      <c r="BZ139" s="134">
        <f t="shared" si="367"/>
        <v>-0.12073859631141148</v>
      </c>
      <c r="CA139" s="134">
        <f t="shared" si="367"/>
        <v>-8.3794076651570348E-2</v>
      </c>
      <c r="CB139" s="134">
        <f t="shared" si="367"/>
        <v>4.7351684549568063E-2</v>
      </c>
      <c r="CC139" s="134">
        <f t="shared" si="367"/>
        <v>0.21059551083668993</v>
      </c>
      <c r="CD139" s="134">
        <f t="shared" si="367"/>
        <v>0.51904774555270805</v>
      </c>
      <c r="CE139" s="134">
        <f t="shared" si="367"/>
        <v>0.69537023399795928</v>
      </c>
      <c r="CF139" s="134">
        <f t="shared" si="367"/>
        <v>0.24787332206112067</v>
      </c>
      <c r="CG139" s="134">
        <f t="shared" si="367"/>
        <v>-7.0364419008849266E-3</v>
      </c>
      <c r="CH139" s="134">
        <f t="shared" si="367"/>
        <v>0.13322465257668448</v>
      </c>
      <c r="CI139" s="134">
        <f t="shared" si="367"/>
        <v>0.24453427451677801</v>
      </c>
    </row>
    <row r="140" spans="2:87" s="76" customFormat="1" x14ac:dyDescent="0.2">
      <c r="B140" s="101" t="s">
        <v>248</v>
      </c>
      <c r="C140" s="106"/>
      <c r="D140" s="106"/>
      <c r="E140" s="106"/>
      <c r="F140" s="106"/>
      <c r="G140" s="106"/>
      <c r="H140" s="106"/>
      <c r="I140" s="106"/>
      <c r="J140" s="106"/>
      <c r="K140" s="106"/>
      <c r="L140" s="106">
        <f t="shared" si="356"/>
        <v>0.75119007154182627</v>
      </c>
      <c r="M140" s="106">
        <f t="shared" si="356"/>
        <v>0.65743771164452469</v>
      </c>
      <c r="N140" s="106">
        <f t="shared" si="356"/>
        <v>0.64388426003336341</v>
      </c>
      <c r="O140" s="106">
        <f t="shared" si="356"/>
        <v>0.47250217449712739</v>
      </c>
      <c r="P140" s="106">
        <f t="shared" si="356"/>
        <v>0.41227760860804197</v>
      </c>
      <c r="Q140" s="106">
        <f t="shared" si="356"/>
        <v>0.4232702919763156</v>
      </c>
      <c r="R140" s="106">
        <f t="shared" si="356"/>
        <v>0.45368756862326198</v>
      </c>
      <c r="S140" s="106">
        <f t="shared" si="356"/>
        <v>0.51181611819795991</v>
      </c>
      <c r="T140" s="106">
        <f t="shared" si="356"/>
        <v>0.53780340728933873</v>
      </c>
      <c r="U140" s="106">
        <f t="shared" si="356"/>
        <v>0.56772774111778412</v>
      </c>
      <c r="V140" s="106">
        <f t="shared" si="357"/>
        <v>0.59312110816886277</v>
      </c>
      <c r="W140" s="106">
        <f t="shared" si="357"/>
        <v>0.55873442152453467</v>
      </c>
      <c r="X140" s="106">
        <f t="shared" si="357"/>
        <v>0.55885892635073753</v>
      </c>
      <c r="Y140" s="106">
        <f t="shared" si="357"/>
        <v>0.49313560795383138</v>
      </c>
      <c r="Z140" s="106">
        <f t="shared" si="357"/>
        <v>0.49420175642009223</v>
      </c>
      <c r="AA140" s="106">
        <f t="shared" si="357"/>
        <v>0.50318810136493108</v>
      </c>
      <c r="AB140" s="106">
        <f t="shared" si="357"/>
        <v>0.4666557662555475</v>
      </c>
      <c r="AC140" s="106">
        <f t="shared" si="357"/>
        <v>0.48717310653375212</v>
      </c>
      <c r="AD140" s="106">
        <f t="shared" si="357"/>
        <v>0.47948822905720534</v>
      </c>
      <c r="AE140" s="106">
        <f t="shared" si="357"/>
        <v>0.51243439631873233</v>
      </c>
      <c r="AF140" s="106">
        <f t="shared" si="358"/>
        <v>0.5056577840555232</v>
      </c>
      <c r="AG140" s="106">
        <f t="shared" si="358"/>
        <v>0.5185639978403489</v>
      </c>
      <c r="AH140" s="106">
        <f t="shared" si="358"/>
        <v>0.51479411133440589</v>
      </c>
      <c r="AI140" s="106">
        <f t="shared" si="358"/>
        <v>0.49025252683360665</v>
      </c>
      <c r="AJ140" s="106">
        <f t="shared" si="358"/>
        <v>0.49108586252569841</v>
      </c>
      <c r="AK140" s="106">
        <f t="shared" si="358"/>
        <v>0.43379914477932346</v>
      </c>
      <c r="AL140" s="106">
        <f t="shared" si="358"/>
        <v>0.39925811180180792</v>
      </c>
      <c r="AM140" s="106">
        <f t="shared" si="358"/>
        <v>0.38567013917079995</v>
      </c>
      <c r="AN140" s="106">
        <f t="shared" si="358"/>
        <v>0.37007902467870157</v>
      </c>
      <c r="AO140" s="106">
        <f t="shared" si="358"/>
        <v>0.34595995354447129</v>
      </c>
      <c r="AP140" s="106">
        <f t="shared" si="359"/>
        <v>0.30734088951362182</v>
      </c>
      <c r="AQ140" s="106">
        <f t="shared" si="359"/>
        <v>0.27483046825354096</v>
      </c>
      <c r="AR140" s="106">
        <f t="shared" si="359"/>
        <v>0.21749050737602338</v>
      </c>
      <c r="AS140" s="106">
        <f t="shared" si="359"/>
        <v>0.18842959430174</v>
      </c>
      <c r="AT140" s="106">
        <f t="shared" si="359"/>
        <v>0.25062816590456993</v>
      </c>
      <c r="AU140" s="106">
        <f t="shared" si="359"/>
        <v>0.28828964036413485</v>
      </c>
      <c r="AV140" s="106">
        <f t="shared" si="359"/>
        <v>0.31750627186909663</v>
      </c>
      <c r="AW140" s="106">
        <f t="shared" si="359"/>
        <v>0.31223436142555494</v>
      </c>
      <c r="AX140" s="106">
        <f t="shared" si="359"/>
        <v>0.28196717463657528</v>
      </c>
      <c r="AY140" s="106">
        <f t="shared" si="359"/>
        <v>0.26378181797555289</v>
      </c>
      <c r="AZ140" s="106">
        <f t="shared" si="360"/>
        <v>0.25436600096829132</v>
      </c>
      <c r="BA140" s="106">
        <f t="shared" si="360"/>
        <v>0.2419161196762285</v>
      </c>
      <c r="BB140" s="106">
        <f t="shared" si="360"/>
        <v>0.13614453576475638</v>
      </c>
      <c r="BC140" s="106">
        <f t="shared" si="360"/>
        <v>7.0422182021138591E-2</v>
      </c>
      <c r="BD140" s="106">
        <f t="shared" si="360"/>
        <v>4.6198889170020241E-2</v>
      </c>
      <c r="BE140" s="106">
        <f t="shared" si="360"/>
        <v>4.9043277296388244E-2</v>
      </c>
      <c r="BF140" s="106">
        <f t="shared" si="360"/>
        <v>8.491584888999526E-2</v>
      </c>
      <c r="BG140" s="106">
        <f t="shared" si="360"/>
        <v>9.1449728922931683E-2</v>
      </c>
      <c r="BH140" s="106">
        <f t="shared" si="360"/>
        <v>0.14291568831800161</v>
      </c>
      <c r="BI140" s="106">
        <f t="shared" si="360"/>
        <v>0.16430082856701844</v>
      </c>
      <c r="BJ140" s="106">
        <f t="shared" si="360"/>
        <v>0.21019281315704363</v>
      </c>
      <c r="BK140" s="106">
        <f t="shared" si="361"/>
        <v>0.20683175637756301</v>
      </c>
      <c r="BL140" s="106">
        <f t="shared" si="362"/>
        <v>0.20061648669653742</v>
      </c>
      <c r="BM140" s="106">
        <f t="shared" si="363"/>
        <v>0.17530862032673777</v>
      </c>
      <c r="BN140" s="106">
        <f t="shared" si="364"/>
        <v>0.15608970687479817</v>
      </c>
      <c r="BO140" s="106">
        <f t="shared" si="365"/>
        <v>0.14872406278647166</v>
      </c>
      <c r="BP140" s="106"/>
      <c r="BQ140" s="106"/>
      <c r="BR140" s="106"/>
      <c r="BS140" s="106">
        <f t="shared" ref="BS140:CI140" si="368">+(BS126/BQ126)^0.5-1</f>
        <v>1.2535375241049391</v>
      </c>
      <c r="BT140" s="106">
        <f t="shared" si="368"/>
        <v>1.6939474644425552</v>
      </c>
      <c r="BU140" s="106">
        <f t="shared" si="368"/>
        <v>1.18542027446937</v>
      </c>
      <c r="BV140" s="106">
        <f t="shared" si="368"/>
        <v>0.60561956403039718</v>
      </c>
      <c r="BW140" s="106">
        <f t="shared" si="368"/>
        <v>0.45645498234660975</v>
      </c>
      <c r="BX140" s="106">
        <f t="shared" si="368"/>
        <v>0.56511889975409191</v>
      </c>
      <c r="BY140" s="106">
        <f t="shared" si="368"/>
        <v>0.5090765361206564</v>
      </c>
      <c r="BZ140" s="106">
        <f t="shared" si="368"/>
        <v>0.4889830192362441</v>
      </c>
      <c r="CA140" s="106">
        <f t="shared" si="368"/>
        <v>0.50588736970426873</v>
      </c>
      <c r="CB140" s="106">
        <f t="shared" si="368"/>
        <v>0.4213846496673106</v>
      </c>
      <c r="CC140" s="106">
        <f t="shared" si="368"/>
        <v>0.31872485741002032</v>
      </c>
      <c r="CD140" s="106">
        <f t="shared" si="368"/>
        <v>0.240790422482414</v>
      </c>
      <c r="CE140" s="106">
        <f t="shared" si="368"/>
        <v>0.29154581171511618</v>
      </c>
      <c r="CF140" s="106">
        <f t="shared" si="368"/>
        <v>0.16466942842581433</v>
      </c>
      <c r="CG140" s="106">
        <f t="shared" si="368"/>
        <v>6.95406035599897E-2</v>
      </c>
      <c r="CH140" s="106">
        <f t="shared" si="368"/>
        <v>0.18216052161442708</v>
      </c>
      <c r="CI140" s="106">
        <f t="shared" si="368"/>
        <v>0.16807807137727093</v>
      </c>
    </row>
    <row r="141" spans="2:87" x14ac:dyDescent="0.2">
      <c r="AN141" s="106"/>
      <c r="AO141" s="106"/>
      <c r="AP141" s="106"/>
    </row>
    <row r="142" spans="2:87" x14ac:dyDescent="0.2">
      <c r="B142" s="62" t="s">
        <v>274</v>
      </c>
    </row>
    <row r="143" spans="2:87" ht="13.5" x14ac:dyDescent="0.35">
      <c r="B143" s="60" t="s">
        <v>212</v>
      </c>
      <c r="P143" s="108">
        <f t="shared" ref="P143:Y144" si="369">+((1+P134)*(1+L134))^0.5-1</f>
        <v>0.41169586933074553</v>
      </c>
      <c r="Q143" s="108">
        <f t="shared" si="369"/>
        <v>0.46506790595936698</v>
      </c>
      <c r="R143" s="108">
        <f t="shared" si="369"/>
        <v>0.53784168623756901</v>
      </c>
      <c r="S143" s="108">
        <f t="shared" si="369"/>
        <v>0.59086751161745177</v>
      </c>
      <c r="T143" s="108">
        <f t="shared" si="369"/>
        <v>0.61681230083703475</v>
      </c>
      <c r="U143" s="108">
        <f t="shared" si="369"/>
        <v>0.63982449983036371</v>
      </c>
      <c r="V143" s="108">
        <f t="shared" si="369"/>
        <v>0.64560320947580063</v>
      </c>
      <c r="W143" s="108">
        <f t="shared" si="369"/>
        <v>0.66858154185552743</v>
      </c>
      <c r="X143" s="108">
        <f t="shared" si="369"/>
        <v>0.6812041850714956</v>
      </c>
      <c r="Y143" s="108">
        <f t="shared" si="369"/>
        <v>0.6036961761987989</v>
      </c>
      <c r="Z143" s="108">
        <f t="shared" ref="Z143:AI144" si="370">+((1+Z134)*(1+V134))^0.5-1</f>
        <v>0.60089667964696525</v>
      </c>
      <c r="AA143" s="108">
        <f t="shared" si="370"/>
        <v>0.61712495078388918</v>
      </c>
      <c r="AB143" s="108">
        <f t="shared" si="370"/>
        <v>0.58764959152045271</v>
      </c>
      <c r="AC143" s="108">
        <f t="shared" si="370"/>
        <v>0.59189518584272283</v>
      </c>
      <c r="AD143" s="108">
        <f t="shared" si="370"/>
        <v>0.58105349052910094</v>
      </c>
      <c r="AE143" s="108">
        <f t="shared" si="370"/>
        <v>0.59636743825624694</v>
      </c>
      <c r="AF143" s="108">
        <f t="shared" si="370"/>
        <v>0.57085779466423014</v>
      </c>
      <c r="AG143" s="108">
        <f t="shared" si="370"/>
        <v>0.55942236906465825</v>
      </c>
      <c r="AH143" s="108">
        <f t="shared" si="370"/>
        <v>0.52969710237720391</v>
      </c>
      <c r="AI143" s="108">
        <f t="shared" si="370"/>
        <v>0.48927371991976876</v>
      </c>
      <c r="AJ143" s="108">
        <f t="shared" ref="AJ143:AS144" si="371">+((1+AJ134)*(1+AF134))^0.5-1</f>
        <v>0.47344165026008622</v>
      </c>
      <c r="AK143" s="108">
        <f t="shared" si="371"/>
        <v>0.43580361000440249</v>
      </c>
      <c r="AL143" s="108">
        <f t="shared" si="371"/>
        <v>0.40865869556020518</v>
      </c>
      <c r="AM143" s="108">
        <f t="shared" si="371"/>
        <v>0.38503903234233783</v>
      </c>
      <c r="AN143" s="108">
        <f t="shared" si="371"/>
        <v>0.36855926964935803</v>
      </c>
      <c r="AO143" s="108">
        <f t="shared" si="371"/>
        <v>0.35021390091433746</v>
      </c>
      <c r="AP143" s="108">
        <f t="shared" si="371"/>
        <v>0.32797545640980785</v>
      </c>
      <c r="AQ143" s="108">
        <f t="shared" si="371"/>
        <v>0.29618104588572969</v>
      </c>
      <c r="AR143" s="108">
        <f t="shared" si="371"/>
        <v>0.2459860057492711</v>
      </c>
      <c r="AS143" s="108">
        <f t="shared" si="371"/>
        <v>0.21530042534630689</v>
      </c>
      <c r="AT143" s="108">
        <f t="shared" ref="AT143:BC144" si="372">+((1+AT134)*(1+AP134))^0.5-1</f>
        <v>0.25603450942420802</v>
      </c>
      <c r="AU143" s="108">
        <f t="shared" si="372"/>
        <v>0.279360864674566</v>
      </c>
      <c r="AV143" s="108">
        <f t="shared" si="372"/>
        <v>0.29823133056021534</v>
      </c>
      <c r="AW143" s="108">
        <f t="shared" si="372"/>
        <v>0.29895680188425544</v>
      </c>
      <c r="AX143" s="108">
        <f t="shared" si="372"/>
        <v>0.266332281110081</v>
      </c>
      <c r="AY143" s="108">
        <f t="shared" si="372"/>
        <v>0.2527493861293213</v>
      </c>
      <c r="AZ143" s="108">
        <f t="shared" si="372"/>
        <v>0.24711013039806562</v>
      </c>
      <c r="BA143" s="108">
        <f t="shared" si="372"/>
        <v>0.24512667382350428</v>
      </c>
      <c r="BB143" s="108">
        <f t="shared" si="372"/>
        <v>0.16696198687387009</v>
      </c>
      <c r="BC143" s="108">
        <f t="shared" si="372"/>
        <v>0.11075274558526726</v>
      </c>
      <c r="BD143" s="108">
        <f t="shared" ref="BD143:BJ144" si="373">+((1+BD134)*(1+AZ134))^0.5-1</f>
        <v>8.3374997530051287E-2</v>
      </c>
      <c r="BE143" s="108">
        <f t="shared" si="373"/>
        <v>7.7525913026363025E-2</v>
      </c>
      <c r="BF143" s="108">
        <f t="shared" si="373"/>
        <v>0.11494002452632279</v>
      </c>
      <c r="BG143" s="108">
        <f t="shared" si="373"/>
        <v>0.11109935384390068</v>
      </c>
      <c r="BH143" s="108">
        <f t="shared" si="373"/>
        <v>0.16351619065310974</v>
      </c>
      <c r="BI143" s="108">
        <f t="shared" si="373"/>
        <v>0.17740268661875036</v>
      </c>
      <c r="BJ143" s="108">
        <f t="shared" si="373"/>
        <v>0.2065104468711807</v>
      </c>
      <c r="BK143" s="108">
        <f>+((1+BK134)*(1+BG134))^0.5-1</f>
        <v>0.19756475652905348</v>
      </c>
      <c r="BL143" s="108">
        <f t="shared" ref="BL143:BO143" si="374">+((1+BL134)*(1+BH134))^0.5-1</f>
        <v>0.21569109639384809</v>
      </c>
      <c r="BM143" s="108">
        <f t="shared" si="374"/>
        <v>0.19320518291235955</v>
      </c>
      <c r="BN143" s="108">
        <f t="shared" si="374"/>
        <v>0.1800184821883406</v>
      </c>
      <c r="BO143" s="108">
        <f t="shared" si="374"/>
        <v>0.16528591328388798</v>
      </c>
      <c r="BW143" s="108">
        <f>+((1+BW134)*(1+BV134))^0.5-1</f>
        <v>0.51178172151516077</v>
      </c>
      <c r="BX143" s="108">
        <f t="shared" ref="BX143:CI143" si="375">+((1+BX134)*(1+BW134))^0.5-1</f>
        <v>0.64561414428630992</v>
      </c>
      <c r="BY143" s="108">
        <f t="shared" si="375"/>
        <v>0.62118746305163919</v>
      </c>
      <c r="BZ143" s="108">
        <f t="shared" si="375"/>
        <v>0.58954605022309958</v>
      </c>
      <c r="CA143" s="108">
        <f t="shared" si="375"/>
        <v>0.53122689668583822</v>
      </c>
      <c r="CB143" s="108">
        <f t="shared" si="375"/>
        <v>0.4200370925849255</v>
      </c>
      <c r="CC143" s="108">
        <f t="shared" si="375"/>
        <v>0.33139529734707351</v>
      </c>
      <c r="CD143" s="108">
        <f t="shared" si="375"/>
        <v>0.25176514125624894</v>
      </c>
      <c r="CE143" s="108">
        <f t="shared" si="375"/>
        <v>0.27642717092207358</v>
      </c>
      <c r="CF143" s="108">
        <f t="shared" si="375"/>
        <v>0.18406081178080536</v>
      </c>
      <c r="CG143" s="108">
        <f t="shared" si="375"/>
        <v>9.7327287143929242E-2</v>
      </c>
      <c r="CH143" s="108">
        <f t="shared" si="375"/>
        <v>0.18645010846266774</v>
      </c>
      <c r="CI143" s="108">
        <f t="shared" si="375"/>
        <v>0.18659947237945107</v>
      </c>
    </row>
    <row r="144" spans="2:87" x14ac:dyDescent="0.2">
      <c r="B144" s="101" t="s">
        <v>248</v>
      </c>
      <c r="P144" s="106">
        <f t="shared" si="369"/>
        <v>0.42420342210079998</v>
      </c>
      <c r="Q144" s="106">
        <f t="shared" si="369"/>
        <v>0.44813252159137473</v>
      </c>
      <c r="R144" s="106">
        <f t="shared" si="369"/>
        <v>0.4840700434243097</v>
      </c>
      <c r="S144" s="106">
        <f t="shared" si="369"/>
        <v>0.52333458019850099</v>
      </c>
      <c r="T144" s="106">
        <f t="shared" si="369"/>
        <v>0.54267857081857596</v>
      </c>
      <c r="U144" s="106">
        <f t="shared" si="369"/>
        <v>0.5652073450139492</v>
      </c>
      <c r="V144" s="106">
        <f t="shared" si="369"/>
        <v>0.58867743587891286</v>
      </c>
      <c r="W144" s="106">
        <f t="shared" si="369"/>
        <v>0.58005294556917408</v>
      </c>
      <c r="X144" s="106">
        <f t="shared" si="369"/>
        <v>0.60255729773709499</v>
      </c>
      <c r="Y144" s="106">
        <f t="shared" si="369"/>
        <v>0.54521970129142261</v>
      </c>
      <c r="Z144" s="106">
        <f t="shared" si="370"/>
        <v>0.54484029527117861</v>
      </c>
      <c r="AA144" s="106">
        <f t="shared" si="370"/>
        <v>0.56457859125347709</v>
      </c>
      <c r="AB144" s="106">
        <f t="shared" si="370"/>
        <v>0.53304922694698442</v>
      </c>
      <c r="AC144" s="106">
        <f t="shared" si="370"/>
        <v>0.54716451052180592</v>
      </c>
      <c r="AD144" s="106">
        <f t="shared" si="370"/>
        <v>0.53805642798598274</v>
      </c>
      <c r="AE144" s="106">
        <f t="shared" si="370"/>
        <v>0.55673482188608103</v>
      </c>
      <c r="AF144" s="106">
        <f t="shared" si="370"/>
        <v>0.53575201765238689</v>
      </c>
      <c r="AG144" s="106">
        <f t="shared" si="370"/>
        <v>0.53012550443699635</v>
      </c>
      <c r="AH144" s="106">
        <f t="shared" si="370"/>
        <v>0.50870248691271169</v>
      </c>
      <c r="AI144" s="106">
        <f t="shared" si="370"/>
        <v>0.47423622832752477</v>
      </c>
      <c r="AJ144" s="106">
        <f t="shared" si="371"/>
        <v>0.45930217990306943</v>
      </c>
      <c r="AK144" s="106">
        <f t="shared" si="371"/>
        <v>0.42409483354034005</v>
      </c>
      <c r="AL144" s="106">
        <f t="shared" si="371"/>
        <v>0.39859048135441077</v>
      </c>
      <c r="AM144" s="106">
        <f t="shared" si="371"/>
        <v>0.3820266866088935</v>
      </c>
      <c r="AN144" s="106">
        <f t="shared" si="371"/>
        <v>0.36119546247654744</v>
      </c>
      <c r="AO144" s="106">
        <f t="shared" si="371"/>
        <v>0.34921525116030039</v>
      </c>
      <c r="AP144" s="106">
        <f t="shared" si="371"/>
        <v>0.32590612787060214</v>
      </c>
      <c r="AQ144" s="106">
        <f t="shared" si="371"/>
        <v>0.29689519370226303</v>
      </c>
      <c r="AR144" s="106">
        <f t="shared" si="371"/>
        <v>0.24719031340591324</v>
      </c>
      <c r="AS144" s="106">
        <f t="shared" si="371"/>
        <v>0.21802514809972617</v>
      </c>
      <c r="AT144" s="106">
        <f t="shared" si="372"/>
        <v>0.25775284582518343</v>
      </c>
      <c r="AU144" s="106">
        <f t="shared" si="372"/>
        <v>0.28941505549067936</v>
      </c>
      <c r="AV144" s="106">
        <f t="shared" si="372"/>
        <v>0.30965003527547807</v>
      </c>
      <c r="AW144" s="106">
        <f t="shared" si="372"/>
        <v>0.30009532181843035</v>
      </c>
      <c r="AX144" s="106">
        <f t="shared" si="372"/>
        <v>0.27283893586841379</v>
      </c>
      <c r="AY144" s="106">
        <f t="shared" si="372"/>
        <v>0.26184133484300864</v>
      </c>
      <c r="AZ144" s="106">
        <f t="shared" si="372"/>
        <v>0.25697135904923241</v>
      </c>
      <c r="BA144" s="106">
        <f t="shared" si="372"/>
        <v>0.24722536650768401</v>
      </c>
      <c r="BB144" s="106">
        <f t="shared" si="372"/>
        <v>0.16699684076300669</v>
      </c>
      <c r="BC144" s="106">
        <f t="shared" si="372"/>
        <v>0.10841192673251143</v>
      </c>
      <c r="BD144" s="106">
        <f t="shared" si="373"/>
        <v>7.7836805846544399E-2</v>
      </c>
      <c r="BE144" s="106">
        <f t="shared" si="373"/>
        <v>7.6360673477426921E-2</v>
      </c>
      <c r="BF144" s="106">
        <f t="shared" si="373"/>
        <v>0.10872934009785662</v>
      </c>
      <c r="BG144" s="106">
        <f t="shared" si="373"/>
        <v>0.11356566195335205</v>
      </c>
      <c r="BH144" s="106">
        <f t="shared" si="373"/>
        <v>0.15739394323846279</v>
      </c>
      <c r="BI144" s="106">
        <f t="shared" si="373"/>
        <v>0.17481335069172066</v>
      </c>
      <c r="BJ144" s="106">
        <f t="shared" si="373"/>
        <v>0.20667854202477143</v>
      </c>
      <c r="BK144" s="106">
        <f>+((1+BK135)*(1+BG135))^0.5-1</f>
        <v>0.20065400075759099</v>
      </c>
      <c r="BL144" s="106">
        <f t="shared" ref="BL144:BO144" si="376">+((1+BL135)*(1+BH135))^0.5-1</f>
        <v>0.21846974871722269</v>
      </c>
      <c r="BM144" s="106">
        <f t="shared" si="376"/>
        <v>0.19574963173188187</v>
      </c>
      <c r="BN144" s="106">
        <f t="shared" si="376"/>
        <v>0.18210014171220767</v>
      </c>
      <c r="BO144" s="106">
        <f t="shared" si="376"/>
        <v>0.16490342947387693</v>
      </c>
      <c r="BW144" s="106">
        <f>+((1+BW135)*(1+BV135))^0.5-1</f>
        <v>0.47591569915248177</v>
      </c>
      <c r="BX144" s="106">
        <f t="shared" ref="BX144:CI144" si="377">+((1+BX135)*(1+BW135))^0.5-1</f>
        <v>0.57103486062910958</v>
      </c>
      <c r="BY144" s="106">
        <f t="shared" si="377"/>
        <v>0.56192127671314629</v>
      </c>
      <c r="BZ144" s="106">
        <f t="shared" si="377"/>
        <v>0.5448584506684635</v>
      </c>
      <c r="CA144" s="106">
        <f t="shared" si="377"/>
        <v>0.50774341408442791</v>
      </c>
      <c r="CB144" s="106">
        <f t="shared" si="377"/>
        <v>0.41114113662116791</v>
      </c>
      <c r="CC144" s="106">
        <f t="shared" si="377"/>
        <v>0.32940074196454172</v>
      </c>
      <c r="CD144" s="106">
        <f t="shared" si="377"/>
        <v>0.25621971847492708</v>
      </c>
      <c r="CE144" s="106">
        <f t="shared" si="377"/>
        <v>0.2834211962982045</v>
      </c>
      <c r="CF144" s="106">
        <f t="shared" si="377"/>
        <v>0.18571593580563261</v>
      </c>
      <c r="CG144" s="106">
        <f t="shared" si="377"/>
        <v>9.5002235622217546E-2</v>
      </c>
      <c r="CH144" s="106">
        <f t="shared" si="377"/>
        <v>0.18520096293591704</v>
      </c>
      <c r="CI144" s="106">
        <f t="shared" si="377"/>
        <v>0.18812266806722255</v>
      </c>
    </row>
    <row r="145" spans="2:87" x14ac:dyDescent="0.2">
      <c r="B145" s="101"/>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06"/>
      <c r="AK145" s="106"/>
      <c r="AL145" s="106"/>
      <c r="AM145" s="106"/>
      <c r="AN145" s="106"/>
      <c r="AO145" s="106"/>
      <c r="AP145" s="106"/>
      <c r="AQ145" s="106"/>
      <c r="AR145" s="106"/>
      <c r="AS145" s="106"/>
      <c r="AT145" s="106"/>
      <c r="AU145" s="106"/>
      <c r="AV145" s="106"/>
      <c r="AW145" s="106"/>
      <c r="AX145" s="106"/>
      <c r="AY145" s="106"/>
      <c r="AZ145" s="106"/>
      <c r="BA145" s="106"/>
      <c r="BB145" s="106"/>
      <c r="BC145" s="106"/>
      <c r="BD145" s="106"/>
      <c r="BE145" s="106"/>
      <c r="BF145" s="106"/>
      <c r="BG145" s="106"/>
      <c r="BH145" s="106"/>
      <c r="BI145" s="106"/>
      <c r="BJ145" s="106"/>
      <c r="BK145" s="106"/>
      <c r="BL145" s="106"/>
      <c r="BM145" s="106"/>
      <c r="BN145" s="106"/>
      <c r="BO145" s="106"/>
      <c r="BW145" s="106"/>
      <c r="BX145" s="106"/>
      <c r="BY145" s="106"/>
      <c r="BZ145" s="106"/>
      <c r="CA145" s="106"/>
      <c r="CB145" s="106"/>
      <c r="CC145" s="106"/>
      <c r="CD145" s="106"/>
    </row>
    <row r="146" spans="2:87" x14ac:dyDescent="0.2">
      <c r="B146" s="62" t="s">
        <v>257</v>
      </c>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06"/>
      <c r="AK146" s="106"/>
      <c r="AL146" s="106"/>
      <c r="AM146" s="106"/>
      <c r="AN146" s="106"/>
      <c r="AO146" s="106"/>
      <c r="AP146" s="106"/>
      <c r="AQ146" s="106"/>
      <c r="AR146" s="106"/>
      <c r="AS146" s="106"/>
      <c r="AT146" s="106"/>
      <c r="AU146" s="106"/>
      <c r="AV146" s="106"/>
      <c r="AW146" s="106"/>
      <c r="AX146" s="106"/>
      <c r="AY146" s="106"/>
      <c r="AZ146" s="106"/>
      <c r="BA146" s="106"/>
      <c r="BB146" s="106"/>
      <c r="BC146" s="106"/>
      <c r="BD146" s="106"/>
      <c r="BE146" s="106"/>
      <c r="BF146" s="106"/>
      <c r="BG146" s="106"/>
      <c r="BH146" s="106"/>
      <c r="BI146" s="106"/>
      <c r="BJ146" s="106"/>
      <c r="BK146" s="106"/>
      <c r="BL146" s="106"/>
      <c r="BM146" s="106"/>
      <c r="BN146" s="106"/>
      <c r="BO146" s="106"/>
      <c r="BW146" s="106"/>
      <c r="BX146" s="106"/>
      <c r="BY146" s="106"/>
      <c r="BZ146" s="106"/>
      <c r="CA146" s="106"/>
      <c r="CB146" s="106"/>
      <c r="CC146" s="106"/>
      <c r="CD146" s="106"/>
    </row>
    <row r="147" spans="2:87" x14ac:dyDescent="0.2">
      <c r="B147" s="60" t="s">
        <v>212</v>
      </c>
      <c r="E147" s="106">
        <f t="shared" ref="E147:AJ147" si="378">+E124/D124-1</f>
        <v>0.24705882352941178</v>
      </c>
      <c r="F147" s="106">
        <f t="shared" si="378"/>
        <v>6.1320754716981174E-2</v>
      </c>
      <c r="G147" s="106">
        <f t="shared" si="378"/>
        <v>0.45555555555555549</v>
      </c>
      <c r="H147" s="106">
        <f t="shared" si="378"/>
        <v>-2.7480916030534375E-2</v>
      </c>
      <c r="I147" s="106">
        <f t="shared" si="378"/>
        <v>0.21821036106750391</v>
      </c>
      <c r="J147" s="106">
        <f t="shared" si="378"/>
        <v>2.8350515463917425E-2</v>
      </c>
      <c r="K147" s="106">
        <f t="shared" si="378"/>
        <v>0.18170426065162903</v>
      </c>
      <c r="L147" s="106">
        <f t="shared" si="378"/>
        <v>-7.5291622481442166E-2</v>
      </c>
      <c r="M147" s="106">
        <f t="shared" si="378"/>
        <v>0.13761467889908263</v>
      </c>
      <c r="N147" s="106">
        <f t="shared" si="378"/>
        <v>9.4758064516129004E-2</v>
      </c>
      <c r="O147" s="106">
        <f t="shared" si="378"/>
        <v>0.22375690607734811</v>
      </c>
      <c r="P147" s="106">
        <f t="shared" si="378"/>
        <v>-6.3205417607223424E-2</v>
      </c>
      <c r="Q147" s="106">
        <f t="shared" si="378"/>
        <v>0.28433734939759026</v>
      </c>
      <c r="R147" s="106">
        <f t="shared" si="378"/>
        <v>0.12445278298936846</v>
      </c>
      <c r="S147" s="106">
        <f t="shared" si="378"/>
        <v>0.30367074527252513</v>
      </c>
      <c r="T147" s="106">
        <f t="shared" si="378"/>
        <v>-3.3703071672354978E-2</v>
      </c>
      <c r="U147" s="106">
        <f t="shared" si="378"/>
        <v>0.18145695364238401</v>
      </c>
      <c r="V147" s="106">
        <f t="shared" si="378"/>
        <v>0.10500747384155451</v>
      </c>
      <c r="W147" s="106">
        <f t="shared" si="378"/>
        <v>0.21542103483260067</v>
      </c>
      <c r="X147" s="106">
        <f t="shared" si="378"/>
        <v>-7.7072899276572016E-2</v>
      </c>
      <c r="Y147" s="106">
        <f t="shared" si="378"/>
        <v>0.15375339161893287</v>
      </c>
      <c r="Z147" s="106">
        <f t="shared" si="378"/>
        <v>0.12333420433760134</v>
      </c>
      <c r="AA147" s="106">
        <f t="shared" si="378"/>
        <v>0.31123517096999298</v>
      </c>
      <c r="AB147" s="106">
        <f t="shared" si="378"/>
        <v>-7.7346106084796862E-2</v>
      </c>
      <c r="AC147" s="106">
        <f t="shared" si="378"/>
        <v>0.19957700442222648</v>
      </c>
      <c r="AD147" s="106">
        <f t="shared" si="378"/>
        <v>9.2482769674627319E-2</v>
      </c>
      <c r="AE147" s="106">
        <f t="shared" si="378"/>
        <v>0.26599178403755874</v>
      </c>
      <c r="AF147" s="106">
        <f t="shared" si="378"/>
        <v>-8.9465755012168247E-2</v>
      </c>
      <c r="AG147" s="106">
        <f t="shared" si="378"/>
        <v>0.16634847906325567</v>
      </c>
      <c r="AH147" s="106">
        <f t="shared" si="378"/>
        <v>0.10672195547795726</v>
      </c>
      <c r="AI147" s="106">
        <f t="shared" si="378"/>
        <v>0.26000788799053431</v>
      </c>
      <c r="AJ147" s="106">
        <f t="shared" si="378"/>
        <v>-7.7001330307535754E-2</v>
      </c>
      <c r="AK147" s="106">
        <f t="shared" ref="AK147:BJ147" si="379">+AK124/AJ124-1</f>
        <v>0.10538363713437904</v>
      </c>
      <c r="AL147" s="106">
        <f t="shared" si="379"/>
        <v>3.8426138978370883E-2</v>
      </c>
      <c r="AM147" s="106">
        <f t="shared" si="379"/>
        <v>0.22904202673757301</v>
      </c>
      <c r="AN147" s="106">
        <f t="shared" si="379"/>
        <v>-0.10384615384615381</v>
      </c>
      <c r="AO147" s="106">
        <f t="shared" si="379"/>
        <v>0.11480686695278974</v>
      </c>
      <c r="AP147" s="106">
        <f t="shared" si="379"/>
        <v>4.5656881616939371E-2</v>
      </c>
      <c r="AQ147" s="106">
        <f t="shared" si="379"/>
        <v>0.19288960478628536</v>
      </c>
      <c r="AR147" s="106">
        <f t="shared" si="379"/>
        <v>-0.15895061728395066</v>
      </c>
      <c r="AS147" s="106">
        <f t="shared" si="379"/>
        <v>5.0516055045871644E-2</v>
      </c>
      <c r="AT147" s="106">
        <f t="shared" si="379"/>
        <v>0.15233884613285298</v>
      </c>
      <c r="AU147" s="106">
        <f t="shared" si="379"/>
        <v>0.28775104206138691</v>
      </c>
      <c r="AV147" s="106">
        <f t="shared" si="379"/>
        <v>-6.4295435318350691E-2</v>
      </c>
      <c r="AW147" s="106">
        <f t="shared" si="379"/>
        <v>0.1234718345846928</v>
      </c>
      <c r="AX147" s="106">
        <f t="shared" si="379"/>
        <v>-1.0636808957312782E-2</v>
      </c>
      <c r="AY147" s="106">
        <f t="shared" si="379"/>
        <v>0.15430046682699117</v>
      </c>
      <c r="AZ147" s="106">
        <f t="shared" si="379"/>
        <v>-0.17283004994025553</v>
      </c>
      <c r="BA147" s="106">
        <f t="shared" si="379"/>
        <v>4.2743906956070887E-2</v>
      </c>
      <c r="BB147" s="106">
        <f t="shared" si="379"/>
        <v>-3.2502131287297509E-2</v>
      </c>
      <c r="BC147" s="106">
        <f t="shared" si="379"/>
        <v>0.14748320299592477</v>
      </c>
      <c r="BD147" s="106">
        <f t="shared" si="379"/>
        <v>-0.10088308696486847</v>
      </c>
      <c r="BE147" s="106">
        <f t="shared" si="379"/>
        <v>0.1208853777445642</v>
      </c>
      <c r="BF147" s="106">
        <f t="shared" si="379"/>
        <v>6.8099561876944659E-2</v>
      </c>
      <c r="BG147" s="106">
        <f t="shared" si="379"/>
        <v>0.15049192997057337</v>
      </c>
      <c r="BH147" s="106">
        <f t="shared" si="379"/>
        <v>-7.9341704128558899E-2</v>
      </c>
      <c r="BI147" s="106">
        <f t="shared" si="379"/>
        <v>7.559983162621009E-2</v>
      </c>
      <c r="BJ147" s="106">
        <f t="shared" si="379"/>
        <v>4.0595893448824638E-2</v>
      </c>
      <c r="BK147" s="106">
        <f t="shared" ref="BK147:BK149" si="380">+BK124/BJ124-1</f>
        <v>0.13579003382215205</v>
      </c>
      <c r="BL147" s="106">
        <f t="shared" ref="BL147:BL149" si="381">+BL124/BK124-1</f>
        <v>-0.11023584431720279</v>
      </c>
      <c r="BM147" s="106">
        <f t="shared" ref="BM147:BM149" si="382">+BM124/BL124-1</f>
        <v>7.4533516225932628E-2</v>
      </c>
      <c r="BN147" s="106">
        <f t="shared" ref="BN147:BN149" si="383">+BN124/BM124-1</f>
        <v>3.4203011659290183E-2</v>
      </c>
      <c r="BO147" s="106">
        <f t="shared" ref="BO147:BO149" si="384">+BO124/BN124-1</f>
        <v>0.14023990369321337</v>
      </c>
      <c r="BW147" s="106"/>
      <c r="BX147" s="106"/>
      <c r="BY147" s="106"/>
      <c r="BZ147" s="106"/>
      <c r="CA147" s="106"/>
      <c r="CB147" s="106"/>
      <c r="CC147" s="106"/>
      <c r="CD147" s="106"/>
    </row>
    <row r="148" spans="2:87" ht="13.5" x14ac:dyDescent="0.35">
      <c r="B148" s="60" t="s">
        <v>213</v>
      </c>
      <c r="E148" s="108">
        <f t="shared" ref="E148:AJ148" si="385">+E125/D125-1</f>
        <v>0.39999999999999991</v>
      </c>
      <c r="F148" s="108">
        <f t="shared" si="385"/>
        <v>1.4285714285714284</v>
      </c>
      <c r="G148" s="108">
        <f t="shared" si="385"/>
        <v>3.4705882352941178</v>
      </c>
      <c r="H148" s="108">
        <f t="shared" si="385"/>
        <v>0.23684210526315796</v>
      </c>
      <c r="I148" s="108">
        <f t="shared" si="385"/>
        <v>0.26595744680851063</v>
      </c>
      <c r="J148" s="108">
        <f t="shared" si="385"/>
        <v>0.31092436974789917</v>
      </c>
      <c r="K148" s="108">
        <f t="shared" si="385"/>
        <v>0.20512820512820507</v>
      </c>
      <c r="L148" s="108">
        <f t="shared" si="385"/>
        <v>-1.0638297872340385E-2</v>
      </c>
      <c r="M148" s="108">
        <f t="shared" si="385"/>
        <v>3.2258064516129004E-2</v>
      </c>
      <c r="N148" s="108">
        <f t="shared" si="385"/>
        <v>-8.333333333333337E-2</v>
      </c>
      <c r="O148" s="108">
        <f t="shared" si="385"/>
        <v>0.45454545454545459</v>
      </c>
      <c r="P148" s="108">
        <f t="shared" si="385"/>
        <v>-0.16796875</v>
      </c>
      <c r="Q148" s="108">
        <f t="shared" si="385"/>
        <v>4.6948356807512415E-3</v>
      </c>
      <c r="R148" s="108">
        <f t="shared" si="385"/>
        <v>1.8691588785046731E-2</v>
      </c>
      <c r="S148" s="108">
        <f t="shared" si="385"/>
        <v>0.10550458715596323</v>
      </c>
      <c r="T148" s="108">
        <f t="shared" si="385"/>
        <v>-1.6597510373444035E-2</v>
      </c>
      <c r="U148" s="108">
        <f t="shared" si="385"/>
        <v>-1.2658227848101222E-2</v>
      </c>
      <c r="V148" s="108">
        <f t="shared" si="385"/>
        <v>5.1282051282051322E-2</v>
      </c>
      <c r="W148" s="108">
        <f t="shared" si="385"/>
        <v>4.471544715447151E-2</v>
      </c>
      <c r="X148" s="108">
        <f t="shared" si="385"/>
        <v>-0.12062256809338523</v>
      </c>
      <c r="Y148" s="108">
        <f t="shared" si="385"/>
        <v>-4.8672566371681381E-2</v>
      </c>
      <c r="Z148" s="108">
        <f t="shared" si="385"/>
        <v>-6.0465116279069808E-2</v>
      </c>
      <c r="AA148" s="108">
        <f t="shared" si="385"/>
        <v>9.9009900990099098E-3</v>
      </c>
      <c r="AB148" s="108">
        <f t="shared" si="385"/>
        <v>-0.11274509803921573</v>
      </c>
      <c r="AC148" s="108">
        <f t="shared" si="385"/>
        <v>8.8397790055248615E-2</v>
      </c>
      <c r="AD148" s="108">
        <f t="shared" si="385"/>
        <v>-1.0152284263959421E-2</v>
      </c>
      <c r="AE148" s="108">
        <f t="shared" si="385"/>
        <v>-7.6923076923076872E-2</v>
      </c>
      <c r="AF148" s="108">
        <f t="shared" si="385"/>
        <v>-2.777777777777779E-2</v>
      </c>
      <c r="AG148" s="108">
        <f t="shared" si="385"/>
        <v>-0.10285714285714287</v>
      </c>
      <c r="AH148" s="108">
        <f t="shared" si="385"/>
        <v>0.1847133757961783</v>
      </c>
      <c r="AI148" s="108">
        <f t="shared" si="385"/>
        <v>3.7634408602150504E-2</v>
      </c>
      <c r="AJ148" s="108">
        <f t="shared" si="385"/>
        <v>-0.11398963730569944</v>
      </c>
      <c r="AK148" s="108">
        <f t="shared" ref="AK148:BJ148" si="386">+AK125/AJ125-1</f>
        <v>0.12865497076023402</v>
      </c>
      <c r="AL148" s="108">
        <f t="shared" si="386"/>
        <v>-2.5906735751295318E-2</v>
      </c>
      <c r="AM148" s="108">
        <f t="shared" si="386"/>
        <v>0.45744680851063824</v>
      </c>
      <c r="AN148" s="108">
        <f t="shared" si="386"/>
        <v>-0.3978102189781022</v>
      </c>
      <c r="AO148" s="108">
        <f t="shared" si="386"/>
        <v>0.58787878787878789</v>
      </c>
      <c r="AP148" s="108">
        <f t="shared" si="386"/>
        <v>2.6717557251908497E-2</v>
      </c>
      <c r="AQ148" s="108">
        <f t="shared" si="386"/>
        <v>0.28624535315985122</v>
      </c>
      <c r="AR148" s="108">
        <f t="shared" si="386"/>
        <v>-0.14161849710982655</v>
      </c>
      <c r="AS148" s="108">
        <f t="shared" si="386"/>
        <v>0.23232323232323226</v>
      </c>
      <c r="AT148" s="108">
        <f t="shared" si="386"/>
        <v>-2.1857923497267784E-2</v>
      </c>
      <c r="AU148" s="108">
        <f t="shared" si="386"/>
        <v>1.4720670391061454</v>
      </c>
      <c r="AV148" s="108">
        <f t="shared" si="386"/>
        <v>-0.17288135593220344</v>
      </c>
      <c r="AW148" s="108">
        <f t="shared" si="386"/>
        <v>-0.32103825136612019</v>
      </c>
      <c r="AX148" s="108">
        <f t="shared" si="386"/>
        <v>0.47686116700201198</v>
      </c>
      <c r="AY148" s="108">
        <f t="shared" si="386"/>
        <v>0.40599455040871946</v>
      </c>
      <c r="AZ148" s="108">
        <f t="shared" si="386"/>
        <v>-0.11821705426356588</v>
      </c>
      <c r="BA148" s="108">
        <f t="shared" si="386"/>
        <v>-0.26373626373626369</v>
      </c>
      <c r="BB148" s="108">
        <f t="shared" si="386"/>
        <v>-0.28805970149253735</v>
      </c>
      <c r="BC148" s="108">
        <f t="shared" si="386"/>
        <v>0.90985324947589108</v>
      </c>
      <c r="BD148" s="108">
        <f t="shared" si="386"/>
        <v>-0.4028540065861691</v>
      </c>
      <c r="BE148" s="108">
        <f t="shared" si="386"/>
        <v>-7.9044117647058876E-2</v>
      </c>
      <c r="BF148" s="108">
        <f t="shared" si="386"/>
        <v>3.9920159680639777E-3</v>
      </c>
      <c r="BG148" s="108">
        <f t="shared" si="386"/>
        <v>1.7932405566600398</v>
      </c>
      <c r="BH148" s="108">
        <f t="shared" si="386"/>
        <v>-0.41637010676156583</v>
      </c>
      <c r="BI148" s="108">
        <f t="shared" si="386"/>
        <v>-9.5121951219512169E-2</v>
      </c>
      <c r="BJ148" s="108">
        <f t="shared" si="386"/>
        <v>-5.121293800539084E-2</v>
      </c>
      <c r="BK148" s="108">
        <f t="shared" si="380"/>
        <v>1.1953125000000004</v>
      </c>
      <c r="BL148" s="108">
        <f t="shared" si="381"/>
        <v>-0.36331284373989015</v>
      </c>
      <c r="BM148" s="108">
        <f t="shared" si="382"/>
        <v>-9.5121951219512169E-2</v>
      </c>
      <c r="BN148" s="108">
        <f t="shared" si="383"/>
        <v>-5.121293800539084E-2</v>
      </c>
      <c r="BO148" s="108">
        <f t="shared" si="384"/>
        <v>1.1953125000000004</v>
      </c>
      <c r="BW148" s="106"/>
      <c r="BX148" s="106"/>
      <c r="BY148" s="106"/>
      <c r="BZ148" s="106"/>
      <c r="CA148" s="106"/>
      <c r="CB148" s="106"/>
      <c r="CC148" s="106"/>
      <c r="CD148" s="106"/>
    </row>
    <row r="149" spans="2:87" x14ac:dyDescent="0.2">
      <c r="B149" s="101" t="s">
        <v>248</v>
      </c>
      <c r="E149" s="106">
        <f t="shared" ref="E149:AJ149" si="387">+E126/D126-1</f>
        <v>0.24927536231884062</v>
      </c>
      <c r="F149" s="106">
        <f t="shared" si="387"/>
        <v>8.3526682134570818E-2</v>
      </c>
      <c r="G149" s="106">
        <f t="shared" si="387"/>
        <v>0.56531049250535337</v>
      </c>
      <c r="H149" s="106">
        <f t="shared" si="387"/>
        <v>0</v>
      </c>
      <c r="I149" s="106">
        <f t="shared" si="387"/>
        <v>0.22435020519835835</v>
      </c>
      <c r="J149" s="106">
        <f t="shared" si="387"/>
        <v>6.5921787709497304E-2</v>
      </c>
      <c r="K149" s="106">
        <f t="shared" si="387"/>
        <v>0.18553459119496862</v>
      </c>
      <c r="L149" s="106">
        <f t="shared" si="387"/>
        <v>-6.454465075154725E-2</v>
      </c>
      <c r="M149" s="106">
        <f t="shared" si="387"/>
        <v>0.11909262759924388</v>
      </c>
      <c r="N149" s="106">
        <f t="shared" si="387"/>
        <v>6.5878378378378288E-2</v>
      </c>
      <c r="O149" s="106">
        <f t="shared" si="387"/>
        <v>0.25594294770206028</v>
      </c>
      <c r="P149" s="106">
        <f t="shared" si="387"/>
        <v>-8.0126182965299719E-2</v>
      </c>
      <c r="Q149" s="106">
        <f t="shared" si="387"/>
        <v>0.24348422496570654</v>
      </c>
      <c r="R149" s="106">
        <f t="shared" si="387"/>
        <v>0.11196911196911197</v>
      </c>
      <c r="S149" s="106">
        <f t="shared" si="387"/>
        <v>0.28224206349206349</v>
      </c>
      <c r="T149" s="106">
        <f t="shared" si="387"/>
        <v>-3.2108317214700199E-2</v>
      </c>
      <c r="U149" s="106">
        <f t="shared" si="387"/>
        <v>0.16306954436450849</v>
      </c>
      <c r="V149" s="106">
        <f t="shared" si="387"/>
        <v>0.10068728522336778</v>
      </c>
      <c r="W149" s="106">
        <f t="shared" si="387"/>
        <v>0.20231033406181709</v>
      </c>
      <c r="X149" s="106">
        <f t="shared" si="387"/>
        <v>-7.9979226175019513E-2</v>
      </c>
      <c r="Y149" s="106">
        <f t="shared" si="387"/>
        <v>0.14084109511713239</v>
      </c>
      <c r="Z149" s="106">
        <f t="shared" si="387"/>
        <v>0.11355764473033148</v>
      </c>
      <c r="AA149" s="106">
        <f t="shared" si="387"/>
        <v>0.29771161964007997</v>
      </c>
      <c r="AB149" s="106">
        <f t="shared" si="387"/>
        <v>-7.8582434514637867E-2</v>
      </c>
      <c r="AC149" s="106">
        <f t="shared" si="387"/>
        <v>0.19583797844667417</v>
      </c>
      <c r="AD149" s="106">
        <f t="shared" si="387"/>
        <v>8.9341205717837102E-2</v>
      </c>
      <c r="AE149" s="106">
        <f t="shared" si="387"/>
        <v>0.25645414348880324</v>
      </c>
      <c r="AF149" s="106">
        <f t="shared" si="387"/>
        <v>-8.8205244636167524E-2</v>
      </c>
      <c r="AG149" s="106">
        <f t="shared" si="387"/>
        <v>0.16048306772908361</v>
      </c>
      <c r="AH149" s="106">
        <f t="shared" si="387"/>
        <v>0.10803561849586951</v>
      </c>
      <c r="AI149" s="106">
        <f t="shared" si="387"/>
        <v>0.25600309837335389</v>
      </c>
      <c r="AJ149" s="106">
        <f t="shared" si="387"/>
        <v>-7.755164970706141E-2</v>
      </c>
      <c r="AK149" s="106">
        <f t="shared" ref="AK149:BJ149" si="388">+AK126/AJ126-1</f>
        <v>0.10571619588835035</v>
      </c>
      <c r="AL149" s="106">
        <f t="shared" si="388"/>
        <v>3.7487718237472656E-2</v>
      </c>
      <c r="AM149" s="106">
        <f t="shared" si="388"/>
        <v>0.23217017556640207</v>
      </c>
      <c r="AN149" s="106">
        <f t="shared" si="388"/>
        <v>-0.10860825351779591</v>
      </c>
      <c r="AO149" s="106">
        <f t="shared" si="388"/>
        <v>0.11998408171386887</v>
      </c>
      <c r="AP149" s="106">
        <f t="shared" si="388"/>
        <v>4.536302262229075E-2</v>
      </c>
      <c r="AQ149" s="106">
        <f t="shared" si="388"/>
        <v>0.19431225923408113</v>
      </c>
      <c r="AR149" s="106">
        <f t="shared" si="388"/>
        <v>-0.15866616070581541</v>
      </c>
      <c r="AS149" s="106">
        <f t="shared" si="388"/>
        <v>5.3560354062130111E-2</v>
      </c>
      <c r="AT149" s="106">
        <f t="shared" si="388"/>
        <v>0.14892706159362112</v>
      </c>
      <c r="AU149" s="106">
        <f t="shared" si="388"/>
        <v>0.3074988355845365</v>
      </c>
      <c r="AV149" s="106">
        <f t="shared" si="388"/>
        <v>-6.7718723282986559E-2</v>
      </c>
      <c r="AW149" s="106">
        <f t="shared" si="388"/>
        <v>0.11103893622712158</v>
      </c>
      <c r="AX149" s="106">
        <f t="shared" si="388"/>
        <v>-2.3042267083949186E-3</v>
      </c>
      <c r="AY149" s="106">
        <f t="shared" si="388"/>
        <v>0.16066873491899347</v>
      </c>
      <c r="AZ149" s="106">
        <f t="shared" si="388"/>
        <v>-0.1711561878174096</v>
      </c>
      <c r="BA149" s="106">
        <f t="shared" si="388"/>
        <v>3.2750465816253405E-2</v>
      </c>
      <c r="BB149" s="106">
        <f t="shared" si="388"/>
        <v>-3.8442856151550853E-2</v>
      </c>
      <c r="BC149" s="106">
        <f t="shared" si="388"/>
        <v>0.1606047485025619</v>
      </c>
      <c r="BD149" s="106">
        <f t="shared" si="388"/>
        <v>-0.10943572205813767</v>
      </c>
      <c r="BE149" s="106">
        <f t="shared" si="388"/>
        <v>0.1170884971199162</v>
      </c>
      <c r="BF149" s="106">
        <f t="shared" si="388"/>
        <v>6.7095846745210741E-2</v>
      </c>
      <c r="BG149" s="106">
        <f t="shared" si="388"/>
        <v>0.17469103262461205</v>
      </c>
      <c r="BH149" s="106">
        <f t="shared" si="388"/>
        <v>-9.1147066889382011E-2</v>
      </c>
      <c r="BI149" s="106">
        <f t="shared" si="388"/>
        <v>7.1759703744342263E-2</v>
      </c>
      <c r="BJ149" s="106">
        <f t="shared" si="388"/>
        <v>3.8852345729569304E-2</v>
      </c>
      <c r="BK149" s="106">
        <f t="shared" si="380"/>
        <v>0.15416702798779314</v>
      </c>
      <c r="BL149" s="106">
        <f t="shared" si="381"/>
        <v>-0.118585040600372</v>
      </c>
      <c r="BM149" s="106">
        <f t="shared" si="382"/>
        <v>7.0490499607232637E-2</v>
      </c>
      <c r="BN149" s="106">
        <f t="shared" si="383"/>
        <v>3.2482395981745515E-2</v>
      </c>
      <c r="BO149" s="106">
        <f t="shared" si="384"/>
        <v>0.15977040286209498</v>
      </c>
      <c r="BW149" s="106"/>
      <c r="BX149" s="106"/>
      <c r="BY149" s="106"/>
      <c r="BZ149" s="106"/>
      <c r="CA149" s="106"/>
      <c r="CB149" s="106"/>
      <c r="CC149" s="106"/>
      <c r="CD149" s="106"/>
    </row>
    <row r="150" spans="2:87" x14ac:dyDescent="0.2">
      <c r="B150" s="101"/>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6"/>
      <c r="AX150" s="106"/>
      <c r="AY150" s="106"/>
      <c r="AZ150" s="106"/>
      <c r="BA150" s="106"/>
      <c r="BB150" s="106"/>
      <c r="BC150" s="106"/>
      <c r="BD150" s="106"/>
      <c r="BE150" s="106"/>
      <c r="BF150" s="106"/>
      <c r="BG150" s="106"/>
      <c r="BH150" s="106"/>
      <c r="BI150" s="106"/>
      <c r="BJ150" s="106"/>
      <c r="BK150" s="106"/>
      <c r="BL150" s="106"/>
      <c r="BM150" s="106"/>
      <c r="BN150" s="106"/>
      <c r="BO150" s="106"/>
      <c r="BW150" s="106"/>
      <c r="BX150" s="106"/>
      <c r="BY150" s="106"/>
      <c r="BZ150" s="106"/>
      <c r="CA150" s="106"/>
      <c r="CB150" s="106"/>
      <c r="CC150" s="106"/>
      <c r="CD150" s="106"/>
    </row>
    <row r="151" spans="2:87" x14ac:dyDescent="0.2">
      <c r="B151" s="62" t="s">
        <v>356</v>
      </c>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6"/>
      <c r="AU151" s="106"/>
      <c r="AV151" s="106"/>
      <c r="AW151" s="106"/>
      <c r="AX151" s="106"/>
      <c r="AY151" s="106"/>
      <c r="AZ151" s="106"/>
      <c r="BA151" s="106"/>
      <c r="BB151" s="106"/>
      <c r="BC151" s="106"/>
      <c r="BD151" s="106"/>
      <c r="BE151" s="106"/>
      <c r="BF151" s="106"/>
      <c r="BG151" s="106"/>
      <c r="BH151" s="106"/>
      <c r="BI151" s="106"/>
      <c r="BJ151" s="106"/>
      <c r="BK151" s="106"/>
      <c r="BL151" s="106"/>
      <c r="BM151" s="106"/>
      <c r="BN151" s="106"/>
      <c r="BO151" s="106"/>
      <c r="BW151" s="106"/>
      <c r="BX151" s="106"/>
      <c r="BY151" s="106"/>
      <c r="BZ151" s="106"/>
      <c r="CA151" s="106"/>
      <c r="CB151" s="106"/>
      <c r="CC151" s="106"/>
      <c r="CD151" s="106"/>
    </row>
    <row r="152" spans="2:87" ht="13.5" x14ac:dyDescent="0.35">
      <c r="B152" s="60" t="s">
        <v>212</v>
      </c>
      <c r="E152" s="106"/>
      <c r="F152" s="106"/>
      <c r="G152" s="106"/>
      <c r="H152" s="108">
        <f t="shared" ref="H152:AM152" si="389">+(1+H147)/(1+H$652)-1</f>
        <v>-3.112740850376372E-2</v>
      </c>
      <c r="I152" s="108">
        <f t="shared" si="389"/>
        <v>0.19735387409112692</v>
      </c>
      <c r="J152" s="108">
        <f t="shared" si="389"/>
        <v>3.375538035323622E-2</v>
      </c>
      <c r="K152" s="108">
        <f t="shared" si="389"/>
        <v>0.20561540804240885</v>
      </c>
      <c r="L152" s="108">
        <f t="shared" si="389"/>
        <v>-7.1488236607388789E-2</v>
      </c>
      <c r="M152" s="108">
        <f t="shared" si="389"/>
        <v>0.15158343338880176</v>
      </c>
      <c r="N152" s="108">
        <f t="shared" si="389"/>
        <v>0.10031789395149082</v>
      </c>
      <c r="O152" s="108">
        <f t="shared" si="389"/>
        <v>0.21568102681857892</v>
      </c>
      <c r="P152" s="108">
        <f t="shared" si="389"/>
        <v>-6.1070300149743129E-2</v>
      </c>
      <c r="Q152" s="108">
        <f t="shared" si="389"/>
        <v>0.29932970812504101</v>
      </c>
      <c r="R152" s="108">
        <f t="shared" si="389"/>
        <v>0.13563359104199013</v>
      </c>
      <c r="S152" s="108">
        <f t="shared" si="389"/>
        <v>0.29183477163066462</v>
      </c>
      <c r="T152" s="108">
        <f t="shared" si="389"/>
        <v>-3.1821579699680691E-2</v>
      </c>
      <c r="U152" s="108">
        <f t="shared" si="389"/>
        <v>0.17115148677356484</v>
      </c>
      <c r="V152" s="108">
        <f t="shared" si="389"/>
        <v>0.11669523720915431</v>
      </c>
      <c r="W152" s="108">
        <f t="shared" si="389"/>
        <v>0.25479946895757966</v>
      </c>
      <c r="X152" s="108">
        <f t="shared" si="389"/>
        <v>-4.3715597026114161E-2</v>
      </c>
      <c r="Y152" s="108">
        <f t="shared" si="389"/>
        <v>0.16317153236752335</v>
      </c>
      <c r="Z152" s="108">
        <f t="shared" si="389"/>
        <v>0.13570380447996877</v>
      </c>
      <c r="AA152" s="108">
        <f t="shared" si="389"/>
        <v>0.32330500228237047</v>
      </c>
      <c r="AB152" s="108">
        <f t="shared" si="389"/>
        <v>-7.5756010119531814E-2</v>
      </c>
      <c r="AC152" s="108">
        <f t="shared" si="389"/>
        <v>0.18172500608829445</v>
      </c>
      <c r="AD152" s="108">
        <f t="shared" si="389"/>
        <v>9.2951115151215236E-2</v>
      </c>
      <c r="AE152" s="108">
        <f t="shared" si="389"/>
        <v>0.28432057219840567</v>
      </c>
      <c r="AF152" s="108">
        <f t="shared" si="389"/>
        <v>-8.8976779996164712E-2</v>
      </c>
      <c r="AG152" s="108">
        <f t="shared" si="389"/>
        <v>0.15656135939020133</v>
      </c>
      <c r="AH152" s="108">
        <f t="shared" si="389"/>
        <v>8.6710967828356633E-2</v>
      </c>
      <c r="AI152" s="108">
        <f t="shared" si="389"/>
        <v>0.26409722121816848</v>
      </c>
      <c r="AJ152" s="108">
        <f t="shared" si="389"/>
        <v>-9.0844816641291182E-2</v>
      </c>
      <c r="AK152" s="108">
        <f t="shared" si="389"/>
        <v>0.12436506495272082</v>
      </c>
      <c r="AL152" s="108">
        <f t="shared" si="389"/>
        <v>5.6883429992053536E-2</v>
      </c>
      <c r="AM152" s="108">
        <f t="shared" si="389"/>
        <v>0.23601856441232427</v>
      </c>
      <c r="AN152" s="108">
        <f t="shared" ref="AN152:BO152" si="390">+(1+AN147)/(1+AN$652)-1</f>
        <v>-0.10551580129717819</v>
      </c>
      <c r="AO152" s="108">
        <f t="shared" si="390"/>
        <v>0.12088276560037925</v>
      </c>
      <c r="AP152" s="108">
        <f t="shared" si="390"/>
        <v>5.2320226690827809E-2</v>
      </c>
      <c r="AQ152" s="108">
        <f t="shared" si="390"/>
        <v>0.19383058217104665</v>
      </c>
      <c r="AR152" s="108">
        <f t="shared" si="390"/>
        <v>-0.15167642344616628</v>
      </c>
      <c r="AS152" s="108">
        <f t="shared" si="390"/>
        <v>6.2990825491933133E-2</v>
      </c>
      <c r="AT152" s="108">
        <f t="shared" si="390"/>
        <v>0.12677240493334785</v>
      </c>
      <c r="AU152" s="108">
        <f t="shared" si="390"/>
        <v>0.27708237464648655</v>
      </c>
      <c r="AV152" s="108">
        <f t="shared" si="390"/>
        <v>-7.2608719654665976E-2</v>
      </c>
      <c r="AW152" s="108">
        <f t="shared" si="390"/>
        <v>0.12347915332005077</v>
      </c>
      <c r="AX152" s="108">
        <f t="shared" si="390"/>
        <v>-1.9971003885513872E-3</v>
      </c>
      <c r="AY152" s="108">
        <f t="shared" si="390"/>
        <v>0.16936364630597578</v>
      </c>
      <c r="AZ152" s="108">
        <f t="shared" si="390"/>
        <v>-0.17103701200873167</v>
      </c>
      <c r="BA152" s="108">
        <f t="shared" si="390"/>
        <v>6.2017369228900776E-2</v>
      </c>
      <c r="BB152" s="108">
        <f t="shared" si="390"/>
        <v>-6.9835488354033082E-3</v>
      </c>
      <c r="BC152" s="108">
        <f t="shared" si="390"/>
        <v>0.15316985068090561</v>
      </c>
      <c r="BD152" s="108">
        <f t="shared" si="390"/>
        <v>-0.11677824848014007</v>
      </c>
      <c r="BE152" s="108">
        <f t="shared" si="390"/>
        <v>0.11799614625146604</v>
      </c>
      <c r="BF152" s="108">
        <f t="shared" si="390"/>
        <v>7.1971838986186754E-2</v>
      </c>
      <c r="BG152" s="108">
        <f t="shared" si="390"/>
        <v>0.15753390419034496</v>
      </c>
      <c r="BH152" s="108">
        <f t="shared" si="390"/>
        <v>-8.258062796586263E-2</v>
      </c>
      <c r="BI152" s="108">
        <f t="shared" si="390"/>
        <v>8.4124118419736549E-2</v>
      </c>
      <c r="BJ152" s="108">
        <f t="shared" si="390"/>
        <v>3.4100721493895092E-2</v>
      </c>
      <c r="BK152" s="108">
        <f t="shared" si="390"/>
        <v>0.15157943480568981</v>
      </c>
      <c r="BL152" s="108">
        <f t="shared" si="390"/>
        <v>-9.4361587013749304E-2</v>
      </c>
      <c r="BM152" s="108">
        <f t="shared" si="390"/>
        <v>7.4533516225932628E-2</v>
      </c>
      <c r="BN152" s="108">
        <f t="shared" si="390"/>
        <v>3.4203011659290183E-2</v>
      </c>
      <c r="BO152" s="108">
        <f t="shared" si="390"/>
        <v>0.14023990369321337</v>
      </c>
      <c r="BW152" s="106"/>
      <c r="BX152" s="106"/>
      <c r="BY152" s="106"/>
      <c r="BZ152" s="106"/>
      <c r="CA152" s="106"/>
      <c r="CB152" s="106"/>
      <c r="CC152" s="106"/>
      <c r="CD152" s="106"/>
    </row>
    <row r="153" spans="2:87" x14ac:dyDescent="0.2">
      <c r="B153" s="101" t="s">
        <v>248</v>
      </c>
      <c r="H153" s="106">
        <f t="shared" ref="H153:AM153" si="391">+(1+H149)/(1+H$652)-1</f>
        <v>-3.7495330768684276E-3</v>
      </c>
      <c r="I153" s="106">
        <f t="shared" si="391"/>
        <v>0.20338860043342466</v>
      </c>
      <c r="J153" s="106">
        <f t="shared" si="391"/>
        <v>7.1524121892752035E-2</v>
      </c>
      <c r="K153" s="106">
        <f t="shared" si="391"/>
        <v>0.20952324325525562</v>
      </c>
      <c r="L153" s="106">
        <f t="shared" si="391"/>
        <v>-6.0697061881760161E-2</v>
      </c>
      <c r="M153" s="106">
        <f t="shared" si="391"/>
        <v>0.13283395008403853</v>
      </c>
      <c r="N153" s="106">
        <f t="shared" si="391"/>
        <v>7.1291539673740134E-2</v>
      </c>
      <c r="O153" s="106">
        <f t="shared" si="391"/>
        <v>0.24765466466874408</v>
      </c>
      <c r="P153" s="106">
        <f t="shared" si="391"/>
        <v>-7.802963086909398E-2</v>
      </c>
      <c r="Q153" s="106">
        <f t="shared" si="391"/>
        <v>0.25799969598378159</v>
      </c>
      <c r="R153" s="106">
        <f t="shared" si="391"/>
        <v>0.12302579072828435</v>
      </c>
      <c r="S153" s="106">
        <f t="shared" si="391"/>
        <v>0.2706006399800216</v>
      </c>
      <c r="T153" s="106">
        <f t="shared" si="391"/>
        <v>-3.0223720070496896E-2</v>
      </c>
      <c r="U153" s="106">
        <f t="shared" si="391"/>
        <v>0.15292446491948208</v>
      </c>
      <c r="V153" s="106">
        <f t="shared" si="391"/>
        <v>0.11232935356765972</v>
      </c>
      <c r="W153" s="106">
        <f t="shared" si="391"/>
        <v>0.24126399450603975</v>
      </c>
      <c r="X153" s="106">
        <f t="shared" si="391"/>
        <v>-4.6726967134056885E-2</v>
      </c>
      <c r="Y153" s="106">
        <f t="shared" si="391"/>
        <v>0.15015383220951262</v>
      </c>
      <c r="Z153" s="106">
        <f t="shared" si="391"/>
        <v>0.12581959023826972</v>
      </c>
      <c r="AA153" s="106">
        <f t="shared" si="391"/>
        <v>0.30965696757456307</v>
      </c>
      <c r="AB153" s="106">
        <f t="shared" si="391"/>
        <v>-7.6994469230076579E-2</v>
      </c>
      <c r="AC153" s="106">
        <f t="shared" si="391"/>
        <v>0.17804162396489986</v>
      </c>
      <c r="AD153" s="106">
        <f t="shared" si="391"/>
        <v>8.9808204411382375E-2</v>
      </c>
      <c r="AE153" s="106">
        <f t="shared" si="391"/>
        <v>0.27464484750457396</v>
      </c>
      <c r="AF153" s="106">
        <f t="shared" si="391"/>
        <v>-8.771559270099849E-2</v>
      </c>
      <c r="AG153" s="106">
        <f t="shared" si="391"/>
        <v>0.15074516617881994</v>
      </c>
      <c r="AH153" s="106">
        <f t="shared" si="391"/>
        <v>8.8000878092203472E-2</v>
      </c>
      <c r="AI153" s="106">
        <f t="shared" si="391"/>
        <v>0.26007943412739509</v>
      </c>
      <c r="AJ153" s="106">
        <f t="shared" si="391"/>
        <v>-9.1386882140419456E-2</v>
      </c>
      <c r="AK153" s="106">
        <f t="shared" si="391"/>
        <v>0.12470333433942793</v>
      </c>
      <c r="AL153" s="106">
        <f t="shared" si="391"/>
        <v>5.5928329485442685E-2</v>
      </c>
      <c r="AM153" s="106">
        <f t="shared" si="391"/>
        <v>0.23916446987410955</v>
      </c>
      <c r="AN153" s="106">
        <f t="shared" ref="AN153:BO153" si="392">+(1+AN149)/(1+AN$652)-1</f>
        <v>-0.11026902857753118</v>
      </c>
      <c r="AO153" s="106">
        <f t="shared" si="392"/>
        <v>0.12608819711639363</v>
      </c>
      <c r="AP153" s="106">
        <f t="shared" si="392"/>
        <v>5.2024495108795143E-2</v>
      </c>
      <c r="AQ153" s="106">
        <f t="shared" si="392"/>
        <v>0.19525435883975573</v>
      </c>
      <c r="AR153" s="106">
        <f t="shared" si="392"/>
        <v>-0.15138950661738426</v>
      </c>
      <c r="AS153" s="106">
        <f t="shared" si="392"/>
        <v>6.6071275246882832E-2</v>
      </c>
      <c r="AT153" s="106">
        <f t="shared" si="392"/>
        <v>0.12343631617500583</v>
      </c>
      <c r="AU153" s="106">
        <f t="shared" si="392"/>
        <v>0.2966665630671006</v>
      </c>
      <c r="AV153" s="106">
        <f t="shared" si="392"/>
        <v>-7.6001593354704577E-2</v>
      </c>
      <c r="AW153" s="106">
        <f t="shared" si="392"/>
        <v>0.11104617396971239</v>
      </c>
      <c r="AX153" s="106">
        <f t="shared" si="392"/>
        <v>6.40824693077513E-3</v>
      </c>
      <c r="AY153" s="106">
        <f t="shared" si="392"/>
        <v>0.17581501786020226</v>
      </c>
      <c r="AZ153" s="106">
        <f t="shared" si="392"/>
        <v>-0.16935952149213407</v>
      </c>
      <c r="BA153" s="106">
        <f t="shared" si="392"/>
        <v>5.1839215227661439E-2</v>
      </c>
      <c r="BB153" s="106">
        <f t="shared" si="392"/>
        <v>-1.308096539084791E-2</v>
      </c>
      <c r="BC153" s="106">
        <f t="shared" si="392"/>
        <v>0.16635642337590051</v>
      </c>
      <c r="BD153" s="106">
        <f t="shared" si="392"/>
        <v>-0.125179684642305</v>
      </c>
      <c r="BE153" s="106">
        <f t="shared" si="392"/>
        <v>0.114209052592813</v>
      </c>
      <c r="BF153" s="106">
        <f t="shared" si="392"/>
        <v>7.0964484995990951E-2</v>
      </c>
      <c r="BG153" s="106">
        <f t="shared" si="392"/>
        <v>0.18188112562087588</v>
      </c>
      <c r="BH153" s="106">
        <f t="shared" si="392"/>
        <v>-9.4344458845611601E-2</v>
      </c>
      <c r="BI153" s="106">
        <f t="shared" si="392"/>
        <v>8.0253556959853478E-2</v>
      </c>
      <c r="BJ153" s="106">
        <f t="shared" si="392"/>
        <v>3.2368056618133023E-2</v>
      </c>
      <c r="BK153" s="106">
        <f t="shared" si="392"/>
        <v>0.17021190024781063</v>
      </c>
      <c r="BL153" s="106">
        <f t="shared" si="392"/>
        <v>-0.10285974107323437</v>
      </c>
      <c r="BM153" s="106">
        <f t="shared" si="392"/>
        <v>7.0490499607232637E-2</v>
      </c>
      <c r="BN153" s="106">
        <f t="shared" si="392"/>
        <v>3.2482395981745515E-2</v>
      </c>
      <c r="BO153" s="106">
        <f t="shared" si="392"/>
        <v>0.15977040286209498</v>
      </c>
    </row>
    <row r="154" spans="2:87" x14ac:dyDescent="0.2">
      <c r="B154" s="101"/>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6"/>
      <c r="AW154" s="106"/>
      <c r="AX154" s="106"/>
      <c r="AY154" s="106"/>
      <c r="AZ154" s="106"/>
      <c r="BA154" s="106"/>
      <c r="BB154" s="106"/>
      <c r="BC154" s="106"/>
      <c r="BD154" s="106"/>
      <c r="BE154" s="106"/>
      <c r="BF154" s="106"/>
      <c r="BG154" s="106"/>
      <c r="BH154" s="106"/>
      <c r="BI154" s="106"/>
      <c r="BJ154" s="106"/>
      <c r="BK154" s="106"/>
      <c r="BL154" s="106"/>
      <c r="BM154" s="106"/>
      <c r="BN154" s="106"/>
      <c r="BO154" s="106"/>
    </row>
    <row r="155" spans="2:87" x14ac:dyDescent="0.2">
      <c r="B155" s="227" t="s">
        <v>340</v>
      </c>
    </row>
    <row r="156" spans="2:87" x14ac:dyDescent="0.2">
      <c r="B156" s="226" t="s">
        <v>439</v>
      </c>
    </row>
    <row r="157" spans="2:87" x14ac:dyDescent="0.2">
      <c r="B157" s="70" t="s">
        <v>435</v>
      </c>
      <c r="L157" s="81">
        <v>-15</v>
      </c>
      <c r="M157" s="81">
        <v>-33</v>
      </c>
      <c r="N157" s="81">
        <v>-52</v>
      </c>
      <c r="O157" s="81">
        <v>-23</v>
      </c>
      <c r="P157" s="81">
        <v>-3</v>
      </c>
      <c r="Q157" s="81">
        <v>-13</v>
      </c>
      <c r="R157" s="81">
        <v>-3</v>
      </c>
      <c r="S157" s="81">
        <v>-2</v>
      </c>
      <c r="T157" s="81">
        <v>-9</v>
      </c>
      <c r="U157" s="81">
        <v>30</v>
      </c>
      <c r="V157" s="81">
        <v>21</v>
      </c>
      <c r="W157" s="81">
        <v>-103</v>
      </c>
      <c r="X157" s="81">
        <v>-188</v>
      </c>
      <c r="Y157" s="81">
        <v>-332</v>
      </c>
      <c r="Z157" s="81">
        <v>-342</v>
      </c>
      <c r="AA157" s="81">
        <v>-322</v>
      </c>
      <c r="AB157" s="81">
        <v>-202</v>
      </c>
      <c r="AC157" s="81">
        <v>-1</v>
      </c>
      <c r="AD157" s="81">
        <v>-31</v>
      </c>
      <c r="AE157" s="81">
        <v>-35</v>
      </c>
      <c r="AF157" s="81">
        <v>-22</v>
      </c>
      <c r="AG157" s="81">
        <v>-141</v>
      </c>
      <c r="AH157" s="81">
        <v>128</v>
      </c>
      <c r="AI157" s="81">
        <v>327</v>
      </c>
      <c r="AJ157" s="81">
        <v>535</v>
      </c>
      <c r="AK157" s="81">
        <v>371</v>
      </c>
      <c r="AL157" s="81">
        <v>-159</v>
      </c>
      <c r="AM157" s="81">
        <v>-348</v>
      </c>
      <c r="AN157" s="81">
        <v>-503</v>
      </c>
      <c r="AO157" s="81">
        <v>-572</v>
      </c>
      <c r="AP157" s="81">
        <v>-295</v>
      </c>
      <c r="AQ157" s="81">
        <v>-294</v>
      </c>
      <c r="AR157" s="81">
        <v>-274</v>
      </c>
      <c r="AS157" s="81">
        <v>-295</v>
      </c>
      <c r="AT157" s="81">
        <v>109</v>
      </c>
      <c r="AU157" s="81">
        <v>332</v>
      </c>
      <c r="AV157" s="81">
        <v>695</v>
      </c>
      <c r="AW157" s="81">
        <v>975</v>
      </c>
      <c r="AX157" s="81">
        <v>256</v>
      </c>
      <c r="AY157" s="81">
        <v>-306</v>
      </c>
      <c r="AZ157" s="81">
        <v>-888</v>
      </c>
      <c r="BA157" s="81">
        <v>-1255</v>
      </c>
      <c r="BB157" s="81">
        <v>-1776</v>
      </c>
      <c r="BC157" s="81">
        <v>-1977</v>
      </c>
      <c r="BD157" s="81">
        <v>-806</v>
      </c>
      <c r="BE157" s="81">
        <v>-269</v>
      </c>
      <c r="BF157" s="81">
        <v>645</v>
      </c>
      <c r="BG157" s="81">
        <v>809</v>
      </c>
      <c r="BH157" s="81">
        <v>105</v>
      </c>
      <c r="BI157" s="81">
        <v>-367</v>
      </c>
      <c r="BJ157" s="81">
        <v>-538</v>
      </c>
      <c r="BK157" s="80">
        <f>+BK159-BK158</f>
        <v>-479.15081165416626</v>
      </c>
      <c r="BL157" s="80">
        <f t="shared" ref="BL157:BO157" si="393">+BL159-BL158</f>
        <v>-1346.1441261159007</v>
      </c>
      <c r="BM157" s="80">
        <f t="shared" si="393"/>
        <v>-1108.1712665350149</v>
      </c>
      <c r="BN157" s="80">
        <f t="shared" si="393"/>
        <v>-1429.684276160337</v>
      </c>
      <c r="BO157" s="80">
        <f t="shared" si="393"/>
        <v>-933.89233674865693</v>
      </c>
      <c r="BR157" s="83" t="s">
        <v>127</v>
      </c>
      <c r="BS157" s="83" t="s">
        <v>127</v>
      </c>
      <c r="BT157" s="83" t="s">
        <v>127</v>
      </c>
      <c r="BU157" s="83" t="s">
        <v>127</v>
      </c>
      <c r="BV157" s="64">
        <f>+SUM(L157:O157)</f>
        <v>-123</v>
      </c>
      <c r="BW157" s="64">
        <f>+SUM(P157:S157)</f>
        <v>-21</v>
      </c>
      <c r="BX157" s="64">
        <f>+SUM(T157:W157)</f>
        <v>-61</v>
      </c>
      <c r="BY157" s="64">
        <f>+SUM(X157:AA157)</f>
        <v>-1184</v>
      </c>
      <c r="BZ157" s="64">
        <f>+SUM(AB157:AE157)</f>
        <v>-269</v>
      </c>
      <c r="CA157" s="64">
        <f>+SUM(AF157:AI157)</f>
        <v>292</v>
      </c>
      <c r="CB157" s="64">
        <f>+SUM(AJ157:AM157)</f>
        <v>399</v>
      </c>
      <c r="CC157" s="64">
        <f>+SUM(AN157:AQ157)</f>
        <v>-1664</v>
      </c>
      <c r="CD157" s="64">
        <f>+SUM(AR157:AU157)</f>
        <v>-128</v>
      </c>
      <c r="CE157" s="64">
        <f>+SUM(AV157:AY157)</f>
        <v>1620</v>
      </c>
      <c r="CF157" s="64">
        <f>+SUM(AZ157:BC157)</f>
        <v>-5896</v>
      </c>
      <c r="CG157" s="64">
        <f>+SUM(BD157:BG157)</f>
        <v>379</v>
      </c>
      <c r="CH157" s="64">
        <f>+SUM(BH157:BK157)</f>
        <v>-1279.1508116541663</v>
      </c>
      <c r="CI157" s="64">
        <f>+SUM(BL157:BO157)</f>
        <v>-4817.8920055599101</v>
      </c>
    </row>
    <row r="158" spans="2:87" ht="13.5" x14ac:dyDescent="0.35">
      <c r="B158" s="70" t="s">
        <v>436</v>
      </c>
      <c r="L158" s="65">
        <f>+L159-L157</f>
        <v>0</v>
      </c>
      <c r="M158" s="65">
        <f t="shared" ref="M158:BH158" si="394">+M159-M157</f>
        <v>0</v>
      </c>
      <c r="N158" s="65">
        <f t="shared" si="394"/>
        <v>0</v>
      </c>
      <c r="O158" s="65">
        <f t="shared" si="394"/>
        <v>0</v>
      </c>
      <c r="P158" s="65">
        <f t="shared" si="394"/>
        <v>-1</v>
      </c>
      <c r="Q158" s="65">
        <f t="shared" si="394"/>
        <v>0</v>
      </c>
      <c r="R158" s="65">
        <f t="shared" si="394"/>
        <v>1</v>
      </c>
      <c r="S158" s="65">
        <f t="shared" si="394"/>
        <v>0</v>
      </c>
      <c r="T158" s="65">
        <f t="shared" si="394"/>
        <v>0</v>
      </c>
      <c r="U158" s="65">
        <f t="shared" si="394"/>
        <v>0</v>
      </c>
      <c r="V158" s="65">
        <f t="shared" si="394"/>
        <v>0</v>
      </c>
      <c r="W158" s="65">
        <f t="shared" si="394"/>
        <v>0</v>
      </c>
      <c r="X158" s="65">
        <f t="shared" si="394"/>
        <v>0</v>
      </c>
      <c r="Y158" s="65">
        <f t="shared" si="394"/>
        <v>0</v>
      </c>
      <c r="Z158" s="65">
        <f t="shared" si="394"/>
        <v>0</v>
      </c>
      <c r="AA158" s="65">
        <f t="shared" si="394"/>
        <v>0</v>
      </c>
      <c r="AB158" s="65">
        <f t="shared" si="394"/>
        <v>0</v>
      </c>
      <c r="AC158" s="65">
        <f t="shared" si="394"/>
        <v>0</v>
      </c>
      <c r="AD158" s="65">
        <f t="shared" si="394"/>
        <v>0</v>
      </c>
      <c r="AE158" s="65">
        <f t="shared" si="394"/>
        <v>-1</v>
      </c>
      <c r="AF158" s="65">
        <f t="shared" si="394"/>
        <v>0</v>
      </c>
      <c r="AG158" s="65">
        <f t="shared" si="394"/>
        <v>0</v>
      </c>
      <c r="AH158" s="65">
        <f t="shared" si="394"/>
        <v>0</v>
      </c>
      <c r="AI158" s="65">
        <f t="shared" si="394"/>
        <v>2</v>
      </c>
      <c r="AJ158" s="65">
        <f t="shared" si="394"/>
        <v>1</v>
      </c>
      <c r="AK158" s="65">
        <f t="shared" si="394"/>
        <v>2</v>
      </c>
      <c r="AL158" s="65">
        <f t="shared" si="394"/>
        <v>0</v>
      </c>
      <c r="AM158" s="65">
        <f t="shared" si="394"/>
        <v>-1</v>
      </c>
      <c r="AN158" s="65">
        <f t="shared" si="394"/>
        <v>0</v>
      </c>
      <c r="AO158" s="65">
        <f t="shared" si="394"/>
        <v>-2</v>
      </c>
      <c r="AP158" s="65">
        <f t="shared" si="394"/>
        <v>-2</v>
      </c>
      <c r="AQ158" s="65">
        <f t="shared" si="394"/>
        <v>-1</v>
      </c>
      <c r="AR158" s="65">
        <f t="shared" si="394"/>
        <v>-1</v>
      </c>
      <c r="AS158" s="65">
        <f t="shared" si="394"/>
        <v>-2</v>
      </c>
      <c r="AT158" s="65">
        <f t="shared" si="394"/>
        <v>5</v>
      </c>
      <c r="AU158" s="65">
        <f t="shared" si="394"/>
        <v>7</v>
      </c>
      <c r="AV158" s="65">
        <f t="shared" si="394"/>
        <v>11</v>
      </c>
      <c r="AW158" s="65">
        <f t="shared" si="394"/>
        <v>7</v>
      </c>
      <c r="AX158" s="65">
        <f t="shared" si="394"/>
        <v>3</v>
      </c>
      <c r="AY158" s="65">
        <f t="shared" si="394"/>
        <v>-1</v>
      </c>
      <c r="AZ158" s="65">
        <f t="shared" si="394"/>
        <v>-5</v>
      </c>
      <c r="BA158" s="65">
        <f t="shared" si="394"/>
        <v>-8</v>
      </c>
      <c r="BB158" s="65">
        <f t="shared" si="394"/>
        <v>-13</v>
      </c>
      <c r="BC158" s="65">
        <f t="shared" si="394"/>
        <v>-35</v>
      </c>
      <c r="BD158" s="65">
        <f t="shared" si="394"/>
        <v>-10</v>
      </c>
      <c r="BE158" s="65">
        <f t="shared" si="394"/>
        <v>-5</v>
      </c>
      <c r="BF158" s="65">
        <f t="shared" si="394"/>
        <v>2</v>
      </c>
      <c r="BG158" s="65">
        <f t="shared" si="394"/>
        <v>7</v>
      </c>
      <c r="BH158" s="65">
        <f t="shared" si="394"/>
        <v>1</v>
      </c>
      <c r="BI158" s="65">
        <f>+BI159-BI157</f>
        <v>-4</v>
      </c>
      <c r="BJ158" s="65">
        <f>+BJ159-BJ157</f>
        <v>-6</v>
      </c>
      <c r="BK158" s="71">
        <f>+BJ158/BJ159*BK159</f>
        <v>-5.34368934930297</v>
      </c>
      <c r="BL158" s="71">
        <f t="shared" ref="BL158:BO158" si="395">+BK158/BK159*BL159</f>
        <v>-15.012759770809302</v>
      </c>
      <c r="BM158" s="71">
        <f t="shared" si="395"/>
        <v>-12.358787359126561</v>
      </c>
      <c r="BN158" s="71">
        <f t="shared" si="395"/>
        <v>-15.944434306620861</v>
      </c>
      <c r="BO158" s="71">
        <f t="shared" si="395"/>
        <v>-10.415156171918108</v>
      </c>
      <c r="BR158" s="86" t="str">
        <f>+IFERROR(BR159-BR157,"n/a")</f>
        <v>n/a</v>
      </c>
      <c r="BS158" s="86" t="str">
        <f>+IFERROR(BS159-BS157,"n/a")</f>
        <v>n/a</v>
      </c>
      <c r="BT158" s="86" t="str">
        <f>+IFERROR(BT159-BT157,"n/a")</f>
        <v>n/a</v>
      </c>
      <c r="BU158" s="86" t="str">
        <f>+IFERROR(BU159-BU157,"n/a")</f>
        <v>n/a</v>
      </c>
      <c r="BV158" s="65">
        <f>+SUM(L158:O158)</f>
        <v>0</v>
      </c>
      <c r="BW158" s="65">
        <f>+SUM(P158:S158)</f>
        <v>0</v>
      </c>
      <c r="BX158" s="65">
        <f>+SUM(T158:W158)</f>
        <v>0</v>
      </c>
      <c r="BY158" s="65">
        <f>+SUM(X158:AA158)</f>
        <v>0</v>
      </c>
      <c r="BZ158" s="65">
        <f>+SUM(AB158:AE158)</f>
        <v>-1</v>
      </c>
      <c r="CA158" s="65">
        <f>+SUM(AF158:AI158)</f>
        <v>2</v>
      </c>
      <c r="CB158" s="65">
        <f>+SUM(AJ158:AM158)</f>
        <v>2</v>
      </c>
      <c r="CC158" s="65">
        <f>+SUM(AN158:AQ158)</f>
        <v>-5</v>
      </c>
      <c r="CD158" s="65">
        <f>+SUM(AR158:AU158)</f>
        <v>9</v>
      </c>
      <c r="CE158" s="65">
        <f>+SUM(AV158:AY158)</f>
        <v>20</v>
      </c>
      <c r="CF158" s="65">
        <f>+SUM(AZ158:BC158)</f>
        <v>-61</v>
      </c>
      <c r="CG158" s="65">
        <f>+SUM(BD158:BG158)</f>
        <v>-6</v>
      </c>
      <c r="CH158" s="65">
        <f>+SUM(BH158:BK158)</f>
        <v>-14.34368934930297</v>
      </c>
      <c r="CI158" s="65">
        <f t="shared" ref="CI158:CI159" si="396">+SUM(BL158:BO158)</f>
        <v>-53.731137608474832</v>
      </c>
    </row>
    <row r="159" spans="2:87" s="76" customFormat="1" x14ac:dyDescent="0.2">
      <c r="B159" s="66" t="s">
        <v>437</v>
      </c>
      <c r="C159"/>
      <c r="D159"/>
      <c r="E159"/>
      <c r="F159"/>
      <c r="G159"/>
      <c r="H159"/>
      <c r="I159"/>
      <c r="J159"/>
      <c r="K159"/>
      <c r="L159" s="81">
        <v>-15</v>
      </c>
      <c r="M159" s="81">
        <v>-33</v>
      </c>
      <c r="N159" s="81">
        <v>-52</v>
      </c>
      <c r="O159" s="81">
        <v>-23</v>
      </c>
      <c r="P159" s="81">
        <v>-4</v>
      </c>
      <c r="Q159" s="81">
        <v>-13</v>
      </c>
      <c r="R159" s="81">
        <v>-2</v>
      </c>
      <c r="S159" s="81">
        <v>-2</v>
      </c>
      <c r="T159" s="81">
        <v>-9</v>
      </c>
      <c r="U159" s="81">
        <v>30</v>
      </c>
      <c r="V159" s="81">
        <v>21</v>
      </c>
      <c r="W159" s="81">
        <v>-103</v>
      </c>
      <c r="X159" s="81">
        <v>-188</v>
      </c>
      <c r="Y159" s="81">
        <v>-332</v>
      </c>
      <c r="Z159" s="81">
        <v>-342</v>
      </c>
      <c r="AA159" s="81">
        <v>-322</v>
      </c>
      <c r="AB159" s="81">
        <v>-202</v>
      </c>
      <c r="AC159" s="81">
        <v>-1</v>
      </c>
      <c r="AD159" s="81">
        <v>-31</v>
      </c>
      <c r="AE159" s="81">
        <v>-36</v>
      </c>
      <c r="AF159" s="81">
        <v>-22</v>
      </c>
      <c r="AG159" s="81">
        <v>-141</v>
      </c>
      <c r="AH159" s="81">
        <v>128</v>
      </c>
      <c r="AI159" s="81">
        <v>329</v>
      </c>
      <c r="AJ159" s="81">
        <v>536</v>
      </c>
      <c r="AK159" s="81">
        <v>373</v>
      </c>
      <c r="AL159" s="81">
        <v>-159</v>
      </c>
      <c r="AM159" s="81">
        <v>-349</v>
      </c>
      <c r="AN159" s="81">
        <v>-503</v>
      </c>
      <c r="AO159" s="81">
        <v>-574</v>
      </c>
      <c r="AP159" s="81">
        <v>-297</v>
      </c>
      <c r="AQ159" s="81">
        <v>-295</v>
      </c>
      <c r="AR159" s="81">
        <v>-275</v>
      </c>
      <c r="AS159" s="81">
        <v>-297</v>
      </c>
      <c r="AT159" s="81">
        <v>114</v>
      </c>
      <c r="AU159" s="81">
        <v>339</v>
      </c>
      <c r="AV159" s="81">
        <v>706</v>
      </c>
      <c r="AW159" s="81">
        <v>982</v>
      </c>
      <c r="AX159" s="81">
        <v>259</v>
      </c>
      <c r="AY159" s="81">
        <v>-307</v>
      </c>
      <c r="AZ159" s="81">
        <v>-893</v>
      </c>
      <c r="BA159" s="81">
        <v>-1263</v>
      </c>
      <c r="BB159" s="81">
        <v>-1789</v>
      </c>
      <c r="BC159" s="81">
        <v>-2012</v>
      </c>
      <c r="BD159" s="81">
        <v>-816</v>
      </c>
      <c r="BE159" s="81">
        <v>-274</v>
      </c>
      <c r="BF159" s="81">
        <v>647</v>
      </c>
      <c r="BG159" s="81">
        <v>816</v>
      </c>
      <c r="BH159" s="81">
        <v>106</v>
      </c>
      <c r="BI159" s="81">
        <v>-371</v>
      </c>
      <c r="BJ159" s="81">
        <v>-544</v>
      </c>
      <c r="BK159" s="80">
        <f>+BK164*BG126</f>
        <v>-484.49450100346922</v>
      </c>
      <c r="BL159" s="80">
        <f t="shared" ref="BL159:BO159" si="397">+BL164*BH126</f>
        <v>-1361.1568858867099</v>
      </c>
      <c r="BM159" s="80">
        <f t="shared" si="397"/>
        <v>-1120.5300538941415</v>
      </c>
      <c r="BN159" s="80">
        <f t="shared" si="397"/>
        <v>-1445.628710466958</v>
      </c>
      <c r="BO159" s="80">
        <f t="shared" si="397"/>
        <v>-944.30749292057499</v>
      </c>
      <c r="BP159"/>
      <c r="BQ159"/>
      <c r="BR159" s="83" t="s">
        <v>127</v>
      </c>
      <c r="BS159" s="83" t="s">
        <v>127</v>
      </c>
      <c r="BT159" s="83" t="s">
        <v>127</v>
      </c>
      <c r="BU159" s="83" t="s">
        <v>127</v>
      </c>
      <c r="BV159" s="64">
        <f>+SUM(L159:O159)</f>
        <v>-123</v>
      </c>
      <c r="BW159" s="64">
        <f>+SUM(P159:S159)</f>
        <v>-21</v>
      </c>
      <c r="BX159" s="64">
        <f>+SUM(T159:W159)</f>
        <v>-61</v>
      </c>
      <c r="BY159" s="64">
        <f>+SUM(X159:AA159)</f>
        <v>-1184</v>
      </c>
      <c r="BZ159" s="64">
        <f>+SUM(AB159:AE159)</f>
        <v>-270</v>
      </c>
      <c r="CA159" s="64">
        <f>+SUM(AF159:AI159)</f>
        <v>294</v>
      </c>
      <c r="CB159" s="64">
        <f>+SUM(AJ159:AM159)</f>
        <v>401</v>
      </c>
      <c r="CC159" s="64">
        <f>+SUM(AN159:AQ159)</f>
        <v>-1669</v>
      </c>
      <c r="CD159" s="64">
        <f>+SUM(AR159:AU159)</f>
        <v>-119</v>
      </c>
      <c r="CE159" s="64">
        <f>+SUM(AV159:AY159)</f>
        <v>1640</v>
      </c>
      <c r="CF159" s="64">
        <f>+SUM(AZ159:BC159)</f>
        <v>-5957</v>
      </c>
      <c r="CG159" s="64">
        <f>+SUM(BD159:BG159)</f>
        <v>373</v>
      </c>
      <c r="CH159" s="64">
        <f>+SUM(BH159:BK159)</f>
        <v>-1293.4945010034692</v>
      </c>
      <c r="CI159" s="64">
        <f t="shared" si="396"/>
        <v>-4871.6231431683846</v>
      </c>
    </row>
    <row r="160" spans="2:87" s="76" customFormat="1" x14ac:dyDescent="0.2">
      <c r="B160" s="70"/>
      <c r="C160"/>
      <c r="D160"/>
      <c r="E160"/>
      <c r="F160"/>
      <c r="G160"/>
      <c r="H160"/>
      <c r="I160"/>
      <c r="J160"/>
      <c r="K160"/>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c r="AI160" s="81"/>
      <c r="AJ160" s="81"/>
      <c r="AK160" s="81"/>
      <c r="AL160" s="81"/>
      <c r="AM160" s="81"/>
      <c r="AN160" s="81"/>
      <c r="AO160" s="81"/>
      <c r="AP160" s="81"/>
      <c r="AQ160" s="81"/>
      <c r="AR160" s="81"/>
      <c r="AS160" s="81"/>
      <c r="AT160" s="81"/>
      <c r="AU160" s="81"/>
      <c r="AV160" s="81"/>
      <c r="AW160" s="81"/>
      <c r="AX160" s="81"/>
      <c r="AY160" s="81"/>
      <c r="AZ160" s="81"/>
      <c r="BA160" s="81"/>
      <c r="BB160" s="81"/>
      <c r="BC160" s="81"/>
      <c r="BD160" s="81"/>
      <c r="BE160" s="81"/>
      <c r="BF160" s="81"/>
      <c r="BG160" s="81"/>
      <c r="BH160" s="81"/>
      <c r="BI160" s="80"/>
      <c r="BJ160" s="80"/>
      <c r="BK160" s="80"/>
      <c r="BL160" s="80"/>
      <c r="BM160" s="80"/>
      <c r="BN160" s="80"/>
      <c r="BO160" s="80"/>
      <c r="BP160"/>
      <c r="BQ160"/>
      <c r="BR160"/>
      <c r="BS160"/>
      <c r="BT160"/>
      <c r="BU160"/>
      <c r="BV160" s="64"/>
      <c r="BW160" s="64"/>
      <c r="BX160" s="64"/>
      <c r="BY160" s="64"/>
      <c r="BZ160" s="64"/>
      <c r="CA160" s="64"/>
      <c r="CB160" s="64"/>
      <c r="CC160" s="64"/>
      <c r="CD160" s="64"/>
      <c r="CE160" s="64"/>
      <c r="CF160" s="64"/>
      <c r="CG160" s="64"/>
      <c r="CH160" s="64"/>
      <c r="CI160" s="64"/>
    </row>
    <row r="161" spans="2:87" s="76" customFormat="1" x14ac:dyDescent="0.2">
      <c r="B161" s="226" t="s">
        <v>440</v>
      </c>
      <c r="C161"/>
      <c r="D161"/>
      <c r="E161"/>
      <c r="F161"/>
      <c r="G161"/>
      <c r="H161"/>
      <c r="I161"/>
      <c r="J161"/>
      <c r="K16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c r="AI161" s="81"/>
      <c r="AJ161" s="81"/>
      <c r="AK161" s="81"/>
      <c r="AL161" s="81"/>
      <c r="AM161" s="81"/>
      <c r="AN161" s="81"/>
      <c r="AO161" s="81"/>
      <c r="AP161" s="81"/>
      <c r="AQ161" s="81"/>
      <c r="AR161" s="81"/>
      <c r="AS161" s="81"/>
      <c r="AT161" s="81"/>
      <c r="AU161" s="81"/>
      <c r="AV161" s="81"/>
      <c r="AW161" s="81"/>
      <c r="AX161" s="81"/>
      <c r="AY161" s="81"/>
      <c r="AZ161" s="81"/>
      <c r="BA161" s="81"/>
      <c r="BB161" s="81"/>
      <c r="BC161" s="81"/>
      <c r="BD161" s="81"/>
      <c r="BE161" s="81"/>
      <c r="BF161" s="81"/>
      <c r="BG161" s="81"/>
      <c r="BH161" s="81"/>
      <c r="BI161" s="80"/>
      <c r="BJ161" s="80"/>
      <c r="BK161" s="80"/>
      <c r="BL161" s="80"/>
      <c r="BM161" s="80"/>
      <c r="BN161" s="80"/>
      <c r="BO161" s="80"/>
      <c r="BP161"/>
      <c r="BQ161"/>
      <c r="BR161"/>
      <c r="BS161"/>
      <c r="BT161"/>
      <c r="BU161"/>
      <c r="BV161" s="64"/>
      <c r="BW161" s="64"/>
      <c r="BX161" s="64"/>
      <c r="BY161" s="64"/>
      <c r="BZ161" s="64"/>
      <c r="CA161" s="64"/>
      <c r="CB161" s="64"/>
      <c r="CC161" s="64"/>
      <c r="CD161" s="64"/>
      <c r="CE161" s="64"/>
      <c r="CF161" s="64"/>
      <c r="CG161" s="64"/>
      <c r="CH161" s="64"/>
      <c r="CI161" s="64"/>
    </row>
    <row r="162" spans="2:87" x14ac:dyDescent="0.2">
      <c r="B162" s="70" t="s">
        <v>435</v>
      </c>
      <c r="L162" s="99">
        <f t="shared" ref="L162:U164" si="398">+L157/H124</f>
        <v>-2.3547880690737835E-2</v>
      </c>
      <c r="M162" s="99">
        <f t="shared" si="398"/>
        <v>-4.252577319587629E-2</v>
      </c>
      <c r="N162" s="99">
        <f t="shared" si="398"/>
        <v>-6.5162907268170422E-2</v>
      </c>
      <c r="O162" s="99">
        <f t="shared" si="398"/>
        <v>-2.4390243902439025E-2</v>
      </c>
      <c r="P162" s="99">
        <f t="shared" si="398"/>
        <v>-3.4403669724770644E-3</v>
      </c>
      <c r="Q162" s="99">
        <f t="shared" si="398"/>
        <v>-1.310483870967742E-2</v>
      </c>
      <c r="R162" s="99">
        <f t="shared" si="398"/>
        <v>-2.7624309392265192E-3</v>
      </c>
      <c r="S162" s="99">
        <f t="shared" si="398"/>
        <v>-1.5048908954100827E-3</v>
      </c>
      <c r="T162" s="99">
        <f t="shared" si="398"/>
        <v>-7.2289156626506026E-3</v>
      </c>
      <c r="U162" s="99">
        <f t="shared" si="398"/>
        <v>1.8761726078799251E-2</v>
      </c>
      <c r="V162" s="99">
        <f t="shared" ref="V162:AE164" si="399">+V157/R124</f>
        <v>1.1679644048943271E-2</v>
      </c>
      <c r="W162" s="99">
        <f t="shared" si="399"/>
        <v>-4.3941979522184302E-2</v>
      </c>
      <c r="X162" s="99">
        <f t="shared" si="399"/>
        <v>-8.300220750551876E-2</v>
      </c>
      <c r="Y162" s="99">
        <f t="shared" si="399"/>
        <v>-0.12406576980568013</v>
      </c>
      <c r="Z162" s="99">
        <f t="shared" si="399"/>
        <v>-0.11565776124450457</v>
      </c>
      <c r="AA162" s="99">
        <f t="shared" si="399"/>
        <v>-8.95937673900946E-2</v>
      </c>
      <c r="AB162" s="99">
        <f t="shared" si="399"/>
        <v>-6.0898402170636114E-2</v>
      </c>
      <c r="AC162" s="99">
        <f t="shared" si="399"/>
        <v>-2.6130128037627382E-4</v>
      </c>
      <c r="AD162" s="99">
        <f t="shared" si="399"/>
        <v>-7.210979297511049E-3</v>
      </c>
      <c r="AE162" s="99">
        <f t="shared" si="399"/>
        <v>-6.2089764058896576E-3</v>
      </c>
      <c r="AF162" s="99">
        <f t="shared" ref="AF162:AO164" si="400">+AF157/AB124</f>
        <v>-4.2299557777350514E-3</v>
      </c>
      <c r="AG162" s="99">
        <f t="shared" si="400"/>
        <v>-2.2599775605064914E-2</v>
      </c>
      <c r="AH162" s="99">
        <f t="shared" si="400"/>
        <v>1.8779342723004695E-2</v>
      </c>
      <c r="AI162" s="99">
        <f t="shared" si="400"/>
        <v>3.7895468768107544E-2</v>
      </c>
      <c r="AJ162" s="99">
        <f t="shared" si="400"/>
        <v>6.8092147129947822E-2</v>
      </c>
      <c r="AK162" s="99">
        <f t="shared" si="400"/>
        <v>4.0484504583151462E-2</v>
      </c>
      <c r="AL162" s="99">
        <f t="shared" si="400"/>
        <v>-1.5677381187142576E-2</v>
      </c>
      <c r="AM162" s="99">
        <f t="shared" si="400"/>
        <v>-2.7232177791689492E-2</v>
      </c>
      <c r="AN162" s="99">
        <f t="shared" si="400"/>
        <v>-4.2645188639253921E-2</v>
      </c>
      <c r="AO162" s="99">
        <f t="shared" si="400"/>
        <v>-4.3871759472311707E-2</v>
      </c>
      <c r="AP162" s="99">
        <f t="shared" ref="AP162:AY164" si="401">+AP157/AL124</f>
        <v>-2.1788906123051923E-2</v>
      </c>
      <c r="AQ162" s="99">
        <f t="shared" si="401"/>
        <v>-1.766826923076923E-2</v>
      </c>
      <c r="AR162" s="99">
        <f t="shared" si="401"/>
        <v>-1.8374463519313305E-2</v>
      </c>
      <c r="AS162" s="99">
        <f t="shared" si="401"/>
        <v>-1.7745428296438884E-2</v>
      </c>
      <c r="AT162" s="99">
        <f t="shared" si="401"/>
        <v>6.270494160961859E-3</v>
      </c>
      <c r="AU162" s="99">
        <f t="shared" si="401"/>
        <v>1.6010802469135804E-2</v>
      </c>
      <c r="AV162" s="99">
        <f t="shared" si="401"/>
        <v>3.9850917431192658E-2</v>
      </c>
      <c r="AW162" s="99">
        <f t="shared" si="401"/>
        <v>5.3217619125593578E-2</v>
      </c>
      <c r="AX162" s="99">
        <f t="shared" si="401"/>
        <v>1.2125805229253505E-2</v>
      </c>
      <c r="AY162" s="99">
        <f t="shared" si="401"/>
        <v>-1.1255379409276492E-2</v>
      </c>
      <c r="AZ162" s="99">
        <f t="shared" ref="AZ162:BG164" si="402">+AZ157/AV124</f>
        <v>-3.4907032509139513E-2</v>
      </c>
      <c r="BA162" s="99">
        <f t="shared" si="402"/>
        <v>-4.391182645206438E-2</v>
      </c>
      <c r="BB162" s="99">
        <f t="shared" si="402"/>
        <v>-6.2809449710001408E-2</v>
      </c>
      <c r="BC162" s="99">
        <f t="shared" si="402"/>
        <v>-6.0571708692055519E-2</v>
      </c>
      <c r="BD162" s="99">
        <f t="shared" si="402"/>
        <v>-2.9854063263945477E-2</v>
      </c>
      <c r="BE162" s="99">
        <f t="shared" si="402"/>
        <v>-9.5552713839158858E-3</v>
      </c>
      <c r="BF162" s="99">
        <f t="shared" si="402"/>
        <v>2.3681022139002094E-2</v>
      </c>
      <c r="BG162" s="99">
        <f t="shared" si="402"/>
        <v>2.5884686760094706E-2</v>
      </c>
      <c r="BH162" s="99">
        <f t="shared" ref="BH162:BJ164" si="403">+BH157/BD124</f>
        <v>3.7365218319632752E-3</v>
      </c>
      <c r="BI162" s="99">
        <f t="shared" si="403"/>
        <v>-1.1651533430694012E-2</v>
      </c>
      <c r="BJ162" s="99">
        <f t="shared" si="403"/>
        <v>-1.5991439526796065E-2</v>
      </c>
      <c r="BK162" s="99"/>
      <c r="BL162" s="99"/>
      <c r="BM162" s="99"/>
      <c r="BN162" s="99"/>
      <c r="BO162" s="99"/>
      <c r="BS162" s="229" t="str">
        <f>+IFERROR(BS157/BR124,"n/a")</f>
        <v>n/a</v>
      </c>
      <c r="BT162" s="229" t="str">
        <f t="shared" ref="BT162:CI162" si="404">+IFERROR(BT157/BS124,"n/a")</f>
        <v>n/a</v>
      </c>
      <c r="BU162" s="229" t="str">
        <f t="shared" si="404"/>
        <v>n/a</v>
      </c>
      <c r="BV162" s="229">
        <f t="shared" si="404"/>
        <v>-3.899809765377299E-2</v>
      </c>
      <c r="BW162" s="229">
        <f t="shared" si="404"/>
        <v>-4.9076887123159618E-3</v>
      </c>
      <c r="BX162" s="229">
        <f t="shared" si="404"/>
        <v>-8.7317492127111374E-3</v>
      </c>
      <c r="BY162" s="229">
        <f t="shared" si="404"/>
        <v>-0.10302819352593108</v>
      </c>
      <c r="BZ162" s="229">
        <f t="shared" si="404"/>
        <v>-1.5749414519906323E-2</v>
      </c>
      <c r="CA162" s="229">
        <f t="shared" si="404"/>
        <v>1.086107494885624E-2</v>
      </c>
      <c r="CB162" s="229">
        <f t="shared" si="404"/>
        <v>9.9894847528916933E-3</v>
      </c>
      <c r="CC162" s="229">
        <f t="shared" si="404"/>
        <v>-3.0247945902712136E-2</v>
      </c>
      <c r="CD162" s="229">
        <f t="shared" si="404"/>
        <v>-1.8376283109611657E-3</v>
      </c>
      <c r="CE162" s="229">
        <f t="shared" si="404"/>
        <v>1.9271948608137045E-2</v>
      </c>
      <c r="CF162" s="229">
        <f t="shared" si="404"/>
        <v>-5.1299006386273861E-2</v>
      </c>
      <c r="CG162" s="229">
        <f t="shared" si="404"/>
        <v>3.3350639293916809E-3</v>
      </c>
      <c r="CH162" s="229">
        <f t="shared" si="404"/>
        <v>-9.6943554404323399E-3</v>
      </c>
      <c r="CI162" s="229">
        <f t="shared" si="404"/>
        <v>-3.0272651238100724E-2</v>
      </c>
    </row>
    <row r="163" spans="2:87" ht="13.5" x14ac:dyDescent="0.35">
      <c r="B163" s="70" t="s">
        <v>438</v>
      </c>
      <c r="L163" s="122">
        <f t="shared" si="398"/>
        <v>0</v>
      </c>
      <c r="M163" s="122">
        <f t="shared" si="398"/>
        <v>0</v>
      </c>
      <c r="N163" s="122">
        <f t="shared" si="398"/>
        <v>0</v>
      </c>
      <c r="O163" s="122">
        <f t="shared" si="398"/>
        <v>0</v>
      </c>
      <c r="P163" s="122">
        <f t="shared" si="398"/>
        <v>-5.3763440860215058E-3</v>
      </c>
      <c r="Q163" s="122">
        <f t="shared" si="398"/>
        <v>0</v>
      </c>
      <c r="R163" s="122">
        <f t="shared" si="398"/>
        <v>5.681818181818182E-3</v>
      </c>
      <c r="S163" s="122">
        <f t="shared" si="398"/>
        <v>0</v>
      </c>
      <c r="T163" s="122">
        <f t="shared" si="398"/>
        <v>0</v>
      </c>
      <c r="U163" s="122">
        <f t="shared" si="398"/>
        <v>0</v>
      </c>
      <c r="V163" s="122">
        <f t="shared" si="399"/>
        <v>0</v>
      </c>
      <c r="W163" s="122">
        <f t="shared" si="399"/>
        <v>0</v>
      </c>
      <c r="X163" s="122">
        <f t="shared" si="399"/>
        <v>0</v>
      </c>
      <c r="Y163" s="122">
        <f t="shared" si="399"/>
        <v>0</v>
      </c>
      <c r="Z163" s="122">
        <f t="shared" si="399"/>
        <v>0</v>
      </c>
      <c r="AA163" s="122">
        <f t="shared" si="399"/>
        <v>0</v>
      </c>
      <c r="AB163" s="122">
        <f t="shared" si="399"/>
        <v>0</v>
      </c>
      <c r="AC163" s="122">
        <f t="shared" si="399"/>
        <v>0</v>
      </c>
      <c r="AD163" s="122">
        <f t="shared" si="399"/>
        <v>0</v>
      </c>
      <c r="AE163" s="122">
        <f t="shared" si="399"/>
        <v>-4.9019607843137254E-3</v>
      </c>
      <c r="AF163" s="122">
        <f t="shared" si="400"/>
        <v>0</v>
      </c>
      <c r="AG163" s="122">
        <f t="shared" si="400"/>
        <v>0</v>
      </c>
      <c r="AH163" s="122">
        <f t="shared" si="400"/>
        <v>0</v>
      </c>
      <c r="AI163" s="122">
        <f t="shared" si="400"/>
        <v>1.1111111111111112E-2</v>
      </c>
      <c r="AJ163" s="122">
        <f t="shared" si="400"/>
        <v>5.7142857142857143E-3</v>
      </c>
      <c r="AK163" s="122">
        <f t="shared" si="400"/>
        <v>1.2738853503184714E-2</v>
      </c>
      <c r="AL163" s="122">
        <f t="shared" si="400"/>
        <v>0</v>
      </c>
      <c r="AM163" s="122">
        <f t="shared" si="400"/>
        <v>-5.1813471502590676E-3</v>
      </c>
      <c r="AN163" s="122">
        <f t="shared" si="400"/>
        <v>0</v>
      </c>
      <c r="AO163" s="122">
        <f t="shared" si="400"/>
        <v>-1.0362694300518135E-2</v>
      </c>
      <c r="AP163" s="122">
        <f t="shared" si="401"/>
        <v>-1.0638297872340425E-2</v>
      </c>
      <c r="AQ163" s="122">
        <f t="shared" si="401"/>
        <v>-3.6496350364963502E-3</v>
      </c>
      <c r="AR163" s="122">
        <f t="shared" si="401"/>
        <v>-6.0606060606060606E-3</v>
      </c>
      <c r="AS163" s="122">
        <f t="shared" si="401"/>
        <v>-7.6335877862595417E-3</v>
      </c>
      <c r="AT163" s="122">
        <f t="shared" si="401"/>
        <v>1.858736059479554E-2</v>
      </c>
      <c r="AU163" s="122">
        <f t="shared" si="401"/>
        <v>2.023121387283237E-2</v>
      </c>
      <c r="AV163" s="122">
        <f t="shared" si="401"/>
        <v>3.7037037037037035E-2</v>
      </c>
      <c r="AW163" s="122">
        <f t="shared" si="401"/>
        <v>1.912568306010929E-2</v>
      </c>
      <c r="AX163" s="122">
        <f t="shared" si="401"/>
        <v>8.3798882681564244E-3</v>
      </c>
      <c r="AY163" s="122">
        <f t="shared" si="401"/>
        <v>-1.1299435028248588E-3</v>
      </c>
      <c r="AZ163" s="122">
        <f t="shared" si="402"/>
        <v>-6.8306010928961746E-3</v>
      </c>
      <c r="BA163" s="122">
        <f t="shared" si="402"/>
        <v>-1.6096579476861168E-2</v>
      </c>
      <c r="BB163" s="122">
        <f t="shared" si="402"/>
        <v>-1.7711171662125342E-2</v>
      </c>
      <c r="BC163" s="122">
        <f t="shared" si="402"/>
        <v>-3.391472868217054E-2</v>
      </c>
      <c r="BD163" s="122">
        <f t="shared" si="402"/>
        <v>-1.098901098901099E-2</v>
      </c>
      <c r="BE163" s="122">
        <f t="shared" si="402"/>
        <v>-7.462686567164179E-3</v>
      </c>
      <c r="BF163" s="122">
        <f t="shared" si="402"/>
        <v>4.1928721174004195E-3</v>
      </c>
      <c r="BG163" s="122">
        <f t="shared" si="402"/>
        <v>7.6838638858397366E-3</v>
      </c>
      <c r="BH163" s="122">
        <f t="shared" si="403"/>
        <v>1.838235294117647E-3</v>
      </c>
      <c r="BI163" s="122">
        <f t="shared" si="403"/>
        <v>-7.9840319361277438E-3</v>
      </c>
      <c r="BJ163" s="122">
        <f t="shared" si="403"/>
        <v>-1.1928429423459244E-2</v>
      </c>
      <c r="BK163" s="122"/>
      <c r="BL163" s="122"/>
      <c r="BM163" s="122"/>
      <c r="BN163" s="122"/>
      <c r="BO163" s="122"/>
      <c r="BS163" s="230" t="str">
        <f t="shared" ref="BS163:CI164" si="405">+IFERROR(BS158/BR125,"n/a")</f>
        <v>n/a</v>
      </c>
      <c r="BT163" s="230" t="str">
        <f t="shared" si="405"/>
        <v>n/a</v>
      </c>
      <c r="BU163" s="230" t="str">
        <f t="shared" si="405"/>
        <v>n/a</v>
      </c>
      <c r="BV163" s="230">
        <f t="shared" si="405"/>
        <v>0</v>
      </c>
      <c r="BW163" s="230">
        <f t="shared" si="405"/>
        <v>0</v>
      </c>
      <c r="BX163" s="230">
        <f t="shared" si="405"/>
        <v>0</v>
      </c>
      <c r="BY163" s="230">
        <f t="shared" si="405"/>
        <v>0</v>
      </c>
      <c r="BZ163" s="230">
        <f t="shared" si="405"/>
        <v>-1.1806375442739079E-3</v>
      </c>
      <c r="CA163" s="230">
        <f t="shared" si="405"/>
        <v>2.6560424966799467E-3</v>
      </c>
      <c r="CB163" s="230">
        <f t="shared" si="405"/>
        <v>2.8129395218002813E-3</v>
      </c>
      <c r="CC163" s="230">
        <f t="shared" si="405"/>
        <v>-6.0532687651331718E-3</v>
      </c>
      <c r="CD163" s="230">
        <f t="shared" si="405"/>
        <v>8.6372360844529754E-3</v>
      </c>
      <c r="CE163" s="230">
        <f t="shared" si="405"/>
        <v>1.049317943336831E-2</v>
      </c>
      <c r="CF163" s="230">
        <f t="shared" si="405"/>
        <v>-2.0367278797996661E-2</v>
      </c>
      <c r="CG163" s="230">
        <f t="shared" si="405"/>
        <v>-2.0215633423180594E-3</v>
      </c>
      <c r="CH163" s="230">
        <f t="shared" si="405"/>
        <v>-4.8573279205225096E-3</v>
      </c>
      <c r="CI163" s="230">
        <f t="shared" si="405"/>
        <v>-1.4097110746025142E-2</v>
      </c>
    </row>
    <row r="164" spans="2:87" s="76" customFormat="1" x14ac:dyDescent="0.2">
      <c r="B164" s="66" t="s">
        <v>437</v>
      </c>
      <c r="C164"/>
      <c r="D164"/>
      <c r="E164"/>
      <c r="F164"/>
      <c r="G164"/>
      <c r="H164"/>
      <c r="I164"/>
      <c r="J164"/>
      <c r="K164"/>
      <c r="L164" s="99">
        <f t="shared" si="398"/>
        <v>-2.0519835841313269E-2</v>
      </c>
      <c r="M164" s="99">
        <f t="shared" si="398"/>
        <v>-3.6871508379888271E-2</v>
      </c>
      <c r="N164" s="99">
        <f t="shared" si="398"/>
        <v>-5.450733752620545E-2</v>
      </c>
      <c r="O164" s="99">
        <f t="shared" si="398"/>
        <v>-2.0335985853227233E-2</v>
      </c>
      <c r="P164" s="99">
        <f t="shared" si="398"/>
        <v>-3.780718336483932E-3</v>
      </c>
      <c r="Q164" s="99">
        <f t="shared" si="398"/>
        <v>-1.097972972972973E-2</v>
      </c>
      <c r="R164" s="99">
        <f t="shared" si="398"/>
        <v>-1.5847860538827259E-3</v>
      </c>
      <c r="S164" s="99">
        <f t="shared" si="398"/>
        <v>-1.2618296529968455E-3</v>
      </c>
      <c r="T164" s="99">
        <f t="shared" si="398"/>
        <v>-6.1728395061728392E-3</v>
      </c>
      <c r="U164" s="99">
        <f t="shared" si="398"/>
        <v>1.6547159404302261E-2</v>
      </c>
      <c r="V164" s="99">
        <f t="shared" si="399"/>
        <v>1.0416666666666666E-2</v>
      </c>
      <c r="W164" s="99">
        <f t="shared" si="399"/>
        <v>-3.9845261121856865E-2</v>
      </c>
      <c r="X164" s="99">
        <f t="shared" si="399"/>
        <v>-7.5139888089528373E-2</v>
      </c>
      <c r="Y164" s="99">
        <f t="shared" si="399"/>
        <v>-0.1140893470790378</v>
      </c>
      <c r="Z164" s="99">
        <f t="shared" si="399"/>
        <v>-0.10677489853262566</v>
      </c>
      <c r="AA164" s="99">
        <f t="shared" si="399"/>
        <v>-8.3614645546611271E-2</v>
      </c>
      <c r="AB164" s="99">
        <f t="shared" si="399"/>
        <v>-5.701383008749647E-2</v>
      </c>
      <c r="AC164" s="99">
        <f t="shared" si="399"/>
        <v>-2.4740227610094015E-4</v>
      </c>
      <c r="AD164" s="99">
        <f t="shared" si="399"/>
        <v>-6.8873583648078208E-3</v>
      </c>
      <c r="AE164" s="99">
        <f t="shared" si="399"/>
        <v>-6.1633281972265025E-3</v>
      </c>
      <c r="AF164" s="99">
        <f t="shared" si="400"/>
        <v>-4.087699739873653E-3</v>
      </c>
      <c r="AG164" s="99">
        <f t="shared" si="400"/>
        <v>-2.1908017402113112E-2</v>
      </c>
      <c r="AH164" s="99">
        <f t="shared" si="400"/>
        <v>1.8257024675509912E-2</v>
      </c>
      <c r="AI164" s="99">
        <f t="shared" si="400"/>
        <v>3.7348166647746622E-2</v>
      </c>
      <c r="AJ164" s="99">
        <f t="shared" si="400"/>
        <v>6.6733067729083662E-2</v>
      </c>
      <c r="AK164" s="99">
        <f t="shared" si="400"/>
        <v>4.001716554017809E-2</v>
      </c>
      <c r="AL164" s="99">
        <f t="shared" si="400"/>
        <v>-1.5395042602633618E-2</v>
      </c>
      <c r="AM164" s="99">
        <f t="shared" si="400"/>
        <v>-2.6904101140918901E-2</v>
      </c>
      <c r="AN164" s="99">
        <f t="shared" si="400"/>
        <v>-4.2035768009359854E-2</v>
      </c>
      <c r="AO164" s="99">
        <f t="shared" si="400"/>
        <v>-4.3382964250623539E-2</v>
      </c>
      <c r="AP164" s="99">
        <f t="shared" si="401"/>
        <v>-2.1636191447512203E-2</v>
      </c>
      <c r="AQ164" s="99">
        <f t="shared" si="401"/>
        <v>-1.7441172992787041E-2</v>
      </c>
      <c r="AR164" s="99">
        <f t="shared" si="401"/>
        <v>-1.8239702858658884E-2</v>
      </c>
      <c r="AS164" s="99">
        <f t="shared" si="401"/>
        <v>-1.758853488096648E-2</v>
      </c>
      <c r="AT164" s="99">
        <f t="shared" si="401"/>
        <v>6.4581917063222301E-3</v>
      </c>
      <c r="AU164" s="99">
        <f t="shared" si="401"/>
        <v>1.6080068304714923E-2</v>
      </c>
      <c r="AV164" s="99">
        <f t="shared" si="401"/>
        <v>3.9803799966172407E-2</v>
      </c>
      <c r="AW164" s="99">
        <f t="shared" si="401"/>
        <v>5.2549901000695669E-2</v>
      </c>
      <c r="AX164" s="99">
        <f t="shared" si="401"/>
        <v>1.2063344201210992E-2</v>
      </c>
      <c r="AY164" s="99">
        <f t="shared" si="401"/>
        <v>-1.0936164149330293E-2</v>
      </c>
      <c r="AZ164" s="99">
        <f t="shared" si="402"/>
        <v>-3.4121737801383209E-2</v>
      </c>
      <c r="BA164" s="99">
        <f t="shared" si="402"/>
        <v>-4.3436393025415278E-2</v>
      </c>
      <c r="BB164" s="99">
        <f t="shared" si="402"/>
        <v>-6.1668390210272317E-2</v>
      </c>
      <c r="BC164" s="99">
        <f t="shared" si="402"/>
        <v>-5.9754685040539338E-2</v>
      </c>
      <c r="BD164" s="99">
        <f t="shared" si="402"/>
        <v>-2.9238927905976781E-2</v>
      </c>
      <c r="BE164" s="99">
        <f t="shared" si="402"/>
        <v>-9.5066268822427309E-3</v>
      </c>
      <c r="BF164" s="99">
        <f t="shared" si="402"/>
        <v>2.3345601501046403E-2</v>
      </c>
      <c r="BG164" s="99">
        <f t="shared" si="402"/>
        <v>2.5369190113477384E-2</v>
      </c>
      <c r="BH164" s="99">
        <f t="shared" si="403"/>
        <v>3.7004712864374236E-3</v>
      </c>
      <c r="BI164" s="99">
        <f t="shared" si="403"/>
        <v>-1.1594112316009875E-2</v>
      </c>
      <c r="BJ164" s="99">
        <f t="shared" si="403"/>
        <v>-1.5931587887307443E-2</v>
      </c>
      <c r="BK164" s="231">
        <f>+BK131-BK135</f>
        <v>-1.2078843733725642E-2</v>
      </c>
      <c r="BL164" s="231">
        <f t="shared" ref="BL164:BO164" si="406">+BL131-BL135</f>
        <v>-3.7338002630275952E-2</v>
      </c>
      <c r="BM164" s="231">
        <f t="shared" si="406"/>
        <v>-2.8679328757752337E-2</v>
      </c>
      <c r="BN164" s="231">
        <f t="shared" si="406"/>
        <v>-3.5616268212248586E-2</v>
      </c>
      <c r="BO164" s="231">
        <f t="shared" si="406"/>
        <v>-2.0157488504464277E-2</v>
      </c>
      <c r="BP164" s="231"/>
      <c r="BQ164" s="231"/>
      <c r="BR164" s="231"/>
      <c r="BS164" s="229" t="str">
        <f t="shared" si="405"/>
        <v>n/a</v>
      </c>
      <c r="BT164" s="229" t="str">
        <f t="shared" si="405"/>
        <v>n/a</v>
      </c>
      <c r="BU164" s="229" t="str">
        <f t="shared" si="405"/>
        <v>n/a</v>
      </c>
      <c r="BV164" s="229">
        <f t="shared" si="405"/>
        <v>-3.3144704931285365E-2</v>
      </c>
      <c r="BW164" s="229">
        <f t="shared" si="405"/>
        <v>-4.1265474552957355E-3</v>
      </c>
      <c r="BX164" s="229">
        <f t="shared" si="405"/>
        <v>-7.748983739837398E-3</v>
      </c>
      <c r="BY164" s="229">
        <f t="shared" si="405"/>
        <v>-9.4978341087758697E-2</v>
      </c>
      <c r="BZ164" s="229">
        <f t="shared" si="405"/>
        <v>-1.5061081050928767E-2</v>
      </c>
      <c r="CA164" s="229">
        <f t="shared" si="405"/>
        <v>1.063752804110283E-2</v>
      </c>
      <c r="CB164" s="229">
        <f t="shared" si="405"/>
        <v>9.8639706786707009E-3</v>
      </c>
      <c r="CC164" s="229">
        <f t="shared" si="405"/>
        <v>-2.989003904151295E-2</v>
      </c>
      <c r="CD164" s="229">
        <f t="shared" si="405"/>
        <v>-1.6832397414317439E-3</v>
      </c>
      <c r="CE164" s="229">
        <f t="shared" si="405"/>
        <v>1.9077309634041365E-2</v>
      </c>
      <c r="CF164" s="229">
        <f t="shared" si="405"/>
        <v>-5.0513444530183416E-2</v>
      </c>
      <c r="CG164" s="229">
        <f t="shared" si="405"/>
        <v>3.1987239406906843E-3</v>
      </c>
      <c r="CH164" s="229">
        <f t="shared" si="405"/>
        <v>-9.5884722945231635E-3</v>
      </c>
      <c r="CI164" s="229">
        <f t="shared" si="405"/>
        <v>-2.9894322135388132E-2</v>
      </c>
    </row>
    <row r="165" spans="2:87" s="76" customFormat="1" x14ac:dyDescent="0.2">
      <c r="B165" s="66"/>
      <c r="C165"/>
      <c r="D165"/>
      <c r="E165"/>
      <c r="F165"/>
      <c r="G165"/>
      <c r="H165"/>
      <c r="I165"/>
      <c r="J165"/>
      <c r="K165"/>
      <c r="L165" s="99"/>
      <c r="M165" s="99"/>
      <c r="N165" s="99"/>
      <c r="O165" s="99"/>
      <c r="P165" s="99"/>
      <c r="Q165" s="99"/>
      <c r="R165" s="99"/>
      <c r="S165" s="99"/>
      <c r="T165" s="99"/>
      <c r="U165" s="99"/>
      <c r="V165" s="99"/>
      <c r="W165" s="99"/>
      <c r="X165" s="99"/>
      <c r="Y165" s="99"/>
      <c r="Z165" s="99"/>
      <c r="AA165" s="99"/>
      <c r="AB165" s="99"/>
      <c r="AC165" s="99"/>
      <c r="AD165" s="99"/>
      <c r="AE165" s="99"/>
      <c r="AF165" s="99"/>
      <c r="AG165" s="99"/>
      <c r="AH165" s="99"/>
      <c r="AI165" s="99"/>
      <c r="AJ165" s="99"/>
      <c r="AK165" s="99"/>
      <c r="AL165" s="99"/>
      <c r="AM165" s="99"/>
      <c r="AN165" s="99"/>
      <c r="AO165" s="99"/>
      <c r="AP165" s="99"/>
      <c r="AQ165" s="99"/>
      <c r="AR165" s="99"/>
      <c r="AS165" s="99"/>
      <c r="AT165" s="99"/>
      <c r="AU165" s="99"/>
      <c r="AV165" s="99"/>
      <c r="AW165" s="99"/>
      <c r="AX165" s="99"/>
      <c r="AY165" s="99"/>
      <c r="AZ165" s="99"/>
      <c r="BA165" s="99"/>
      <c r="BB165" s="99"/>
      <c r="BC165" s="99"/>
      <c r="BD165" s="99"/>
      <c r="BE165" s="99"/>
      <c r="BF165" s="99"/>
      <c r="BG165" s="99"/>
      <c r="BH165" s="99"/>
      <c r="BI165" s="231"/>
      <c r="BJ165" s="231"/>
      <c r="BK165" s="231"/>
      <c r="BL165" s="231"/>
      <c r="BM165" s="231"/>
      <c r="BN165" s="231"/>
      <c r="BO165" s="231"/>
      <c r="BP165" s="231"/>
      <c r="BQ165" s="231"/>
      <c r="BR165" s="231"/>
      <c r="BS165" s="229"/>
      <c r="BT165" s="229"/>
      <c r="BU165" s="229"/>
      <c r="BV165" s="229"/>
      <c r="BW165" s="229"/>
      <c r="BX165" s="229"/>
      <c r="BY165" s="229"/>
      <c r="BZ165" s="229"/>
      <c r="CA165" s="229"/>
      <c r="CB165" s="229"/>
      <c r="CC165" s="229"/>
      <c r="CD165" s="229"/>
      <c r="CE165" s="229"/>
      <c r="CF165" s="229"/>
      <c r="CG165" s="229"/>
      <c r="CH165" s="229"/>
      <c r="CI165" s="229"/>
    </row>
    <row r="166" spans="2:87" x14ac:dyDescent="0.2">
      <c r="B166" s="52" t="s">
        <v>303</v>
      </c>
      <c r="C166" s="53"/>
      <c r="E166" s="57"/>
      <c r="F166" s="57"/>
      <c r="G166" s="57"/>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c r="AH166" s="106"/>
      <c r="AI166" s="106"/>
      <c r="AJ166" s="106"/>
      <c r="AK166" s="106"/>
      <c r="AL166" s="106"/>
      <c r="AM166" s="106"/>
      <c r="AN166" s="106"/>
      <c r="AO166" s="106"/>
      <c r="AP166" s="106"/>
      <c r="AQ166" s="106"/>
      <c r="AR166" s="106"/>
      <c r="AS166" s="106"/>
      <c r="AT166" s="106"/>
      <c r="AU166" s="106"/>
      <c r="AV166" s="106"/>
      <c r="AW166" s="106"/>
      <c r="AX166" s="106"/>
      <c r="AY166" s="106"/>
      <c r="AZ166" s="106"/>
      <c r="BA166" s="106"/>
      <c r="BB166" s="106"/>
      <c r="BC166" s="106"/>
      <c r="BD166" s="106"/>
      <c r="BE166" s="106"/>
      <c r="BF166" s="106"/>
      <c r="BG166" s="106"/>
      <c r="BH166" s="106"/>
      <c r="BI166" s="106"/>
      <c r="BJ166" s="106"/>
      <c r="BK166" s="106"/>
      <c r="BL166" s="106"/>
      <c r="BM166" s="106"/>
      <c r="BN166" s="106"/>
      <c r="BO166" s="106"/>
      <c r="BP166" s="106"/>
      <c r="BQ166" s="106"/>
      <c r="BR166" s="106"/>
      <c r="BS166" s="106"/>
      <c r="BT166" s="106"/>
      <c r="BU166" s="106"/>
      <c r="BV166" s="106"/>
      <c r="BW166" s="106"/>
      <c r="BX166" s="106"/>
      <c r="BY166" s="106"/>
      <c r="BZ166" s="106"/>
      <c r="CA166" s="106"/>
      <c r="CB166" s="106"/>
      <c r="CC166" s="106"/>
      <c r="CD166" s="106"/>
      <c r="CE166" s="68"/>
      <c r="CF166" s="68"/>
      <c r="CG166" s="68"/>
      <c r="CH166" s="68"/>
      <c r="CI166" s="68"/>
    </row>
    <row r="167" spans="2:87" x14ac:dyDescent="0.2">
      <c r="B167" s="60"/>
      <c r="E167" s="57"/>
      <c r="F167" s="57"/>
      <c r="G167" s="57"/>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c r="AH167" s="106"/>
      <c r="AI167" s="106"/>
      <c r="AJ167" s="106"/>
      <c r="AK167" s="106"/>
      <c r="AL167" s="106"/>
      <c r="AM167" s="106"/>
      <c r="AN167" s="106"/>
      <c r="AO167" s="106"/>
      <c r="AP167" s="106"/>
      <c r="AQ167" s="106"/>
      <c r="AR167" s="106"/>
      <c r="AS167" s="106"/>
      <c r="AT167" s="106"/>
      <c r="AU167" s="106"/>
      <c r="AV167" s="106"/>
      <c r="AW167" s="106"/>
      <c r="AX167" s="106"/>
      <c r="AY167" s="106"/>
      <c r="AZ167" s="106"/>
      <c r="BA167" s="106"/>
      <c r="BB167" s="106"/>
      <c r="BC167" s="106"/>
      <c r="BD167" s="106"/>
      <c r="BE167" s="106"/>
      <c r="BF167" s="106"/>
      <c r="BG167" s="106"/>
      <c r="BH167" s="106"/>
      <c r="BI167" s="106"/>
      <c r="BJ167" s="106"/>
      <c r="BK167" s="106"/>
      <c r="BL167" s="106"/>
      <c r="BM167" s="106"/>
      <c r="BN167" s="106"/>
      <c r="BO167" s="106"/>
      <c r="BP167" s="106"/>
      <c r="BQ167" s="106"/>
      <c r="BR167" s="106"/>
      <c r="BS167" s="106"/>
      <c r="BT167" s="106"/>
      <c r="BU167" s="106"/>
      <c r="BV167" s="106"/>
      <c r="BW167" s="106"/>
      <c r="BX167" s="106"/>
      <c r="BY167" s="106"/>
      <c r="BZ167" s="106"/>
      <c r="CA167" s="106"/>
      <c r="CB167" s="106"/>
      <c r="CC167" s="106"/>
      <c r="CD167" s="106"/>
      <c r="CE167" s="106"/>
      <c r="CF167" s="106"/>
      <c r="CG167" s="106"/>
      <c r="CH167" s="106"/>
      <c r="CI167" s="106"/>
    </row>
    <row r="168" spans="2:87" x14ac:dyDescent="0.2">
      <c r="B168" t="s">
        <v>296</v>
      </c>
      <c r="E168" s="57"/>
      <c r="F168" s="57"/>
      <c r="G168" s="57"/>
      <c r="H168" s="106"/>
      <c r="I168" s="106"/>
      <c r="J168" s="106"/>
      <c r="K168" s="106"/>
      <c r="L168" s="106"/>
      <c r="M168" s="106"/>
      <c r="N168" s="106"/>
      <c r="O168" s="106"/>
      <c r="P168" s="106"/>
      <c r="Q168" s="106"/>
      <c r="R168" s="106"/>
      <c r="S168" s="106"/>
      <c r="T168" s="106"/>
      <c r="U168" s="106"/>
      <c r="V168" s="106"/>
      <c r="W168" s="106"/>
      <c r="X168" s="106"/>
      <c r="Y168" s="106"/>
      <c r="Z168" s="106"/>
      <c r="AA168" s="81">
        <v>12691</v>
      </c>
      <c r="AB168" s="81">
        <v>13598</v>
      </c>
      <c r="AC168" s="81">
        <v>14495</v>
      </c>
      <c r="AD168" s="81">
        <v>15274</v>
      </c>
      <c r="AE168" s="81">
        <v>17048</v>
      </c>
      <c r="AF168" s="81">
        <v>18770</v>
      </c>
      <c r="AG168" s="81">
        <v>20658</v>
      </c>
      <c r="AH168" s="81">
        <v>23165</v>
      </c>
      <c r="AI168" s="81">
        <v>25015</v>
      </c>
      <c r="AJ168" s="81">
        <v>27742</v>
      </c>
      <c r="AK168" s="81">
        <v>30275</v>
      </c>
      <c r="AL168" s="81">
        <v>33606</v>
      </c>
      <c r="AM168" s="81">
        <v>35587</v>
      </c>
      <c r="AN168" s="81">
        <v>37773</v>
      </c>
      <c r="AO168" s="81">
        <v>39651</v>
      </c>
      <c r="AP168" s="81">
        <v>43030</v>
      </c>
      <c r="AQ168" s="81">
        <v>44942</v>
      </c>
      <c r="AR168" s="81">
        <v>48268</v>
      </c>
      <c r="AS168" s="81">
        <v>52534</v>
      </c>
      <c r="AT168" s="81">
        <v>56653</v>
      </c>
      <c r="AU168" s="81">
        <v>58604</v>
      </c>
      <c r="AV168" s="81">
        <v>60654</v>
      </c>
      <c r="AW168" s="81">
        <v>63404</v>
      </c>
      <c r="AX168" s="81">
        <v>68177</v>
      </c>
      <c r="AY168" s="81">
        <v>71970</v>
      </c>
      <c r="AZ168" s="81">
        <v>77805</v>
      </c>
      <c r="BA168" s="81">
        <v>83553</v>
      </c>
      <c r="BB168" s="81">
        <v>87314</v>
      </c>
      <c r="BC168" s="81">
        <v>86482</v>
      </c>
      <c r="BD168" s="81">
        <v>77114</v>
      </c>
      <c r="BE168" s="81">
        <v>71469</v>
      </c>
      <c r="BF168" s="81">
        <v>66185</v>
      </c>
      <c r="BG168" s="81">
        <v>67317</v>
      </c>
      <c r="BH168" s="81">
        <v>69329</v>
      </c>
      <c r="BI168" s="81">
        <v>70799</v>
      </c>
      <c r="BJ168" s="81">
        <v>72404</v>
      </c>
      <c r="BK168" s="80">
        <f>+BJ168+BK171</f>
        <v>74404</v>
      </c>
      <c r="BL168" s="80">
        <f t="shared" ref="BL168:BO168" si="407">+BK168+BL171</f>
        <v>76404</v>
      </c>
      <c r="BM168" s="80">
        <f t="shared" si="407"/>
        <v>78404</v>
      </c>
      <c r="BN168" s="80">
        <f t="shared" si="407"/>
        <v>80404</v>
      </c>
      <c r="BO168" s="80">
        <f t="shared" si="407"/>
        <v>82404</v>
      </c>
      <c r="BP168" s="106"/>
      <c r="BQ168" s="83" t="s">
        <v>127</v>
      </c>
      <c r="BR168" s="83" t="s">
        <v>127</v>
      </c>
      <c r="BS168" s="83">
        <v>1218</v>
      </c>
      <c r="BT168" s="81">
        <v>2127</v>
      </c>
      <c r="BU168" s="81">
        <v>3200</v>
      </c>
      <c r="BV168" s="81">
        <v>4619</v>
      </c>
      <c r="BW168" s="81">
        <v>6337</v>
      </c>
      <c r="BX168" s="81">
        <v>9199</v>
      </c>
      <c r="BY168" s="80">
        <f>+AA168</f>
        <v>12691</v>
      </c>
      <c r="BZ168" s="80">
        <f>+AE168</f>
        <v>17048</v>
      </c>
      <c r="CA168" s="80">
        <f>+AI168</f>
        <v>25015</v>
      </c>
      <c r="CB168" s="80">
        <f>+AM168</f>
        <v>35587</v>
      </c>
      <c r="CC168" s="80">
        <f>+AQ168</f>
        <v>44942</v>
      </c>
      <c r="CD168" s="80">
        <f>+AU168</f>
        <v>58604</v>
      </c>
      <c r="CE168" s="80">
        <f>+AY168</f>
        <v>71970</v>
      </c>
      <c r="CF168" s="80">
        <f>+BC168</f>
        <v>86482</v>
      </c>
      <c r="CG168" s="80">
        <f>+BG168</f>
        <v>67317</v>
      </c>
      <c r="CH168" s="80">
        <f>+BK168</f>
        <v>74404</v>
      </c>
      <c r="CI168" s="80">
        <f>+BO168</f>
        <v>82404</v>
      </c>
    </row>
    <row r="169" spans="2:87" x14ac:dyDescent="0.2">
      <c r="B169" s="60" t="s">
        <v>17</v>
      </c>
      <c r="E169" s="57"/>
      <c r="F169" s="57"/>
      <c r="G169" s="57"/>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f>+AE168/AA168-1</f>
        <v>0.34331415964069034</v>
      </c>
      <c r="AF169" s="106">
        <f t="shared" ref="AF169:BJ169" si="408">+AF168/AB168-1</f>
        <v>0.38035005147815859</v>
      </c>
      <c r="AG169" s="106">
        <f t="shared" si="408"/>
        <v>0.42518109692997585</v>
      </c>
      <c r="AH169" s="106">
        <f t="shared" si="408"/>
        <v>0.51662956658373704</v>
      </c>
      <c r="AI169" s="106">
        <f t="shared" si="408"/>
        <v>0.46732754575316759</v>
      </c>
      <c r="AJ169" s="106">
        <f t="shared" si="408"/>
        <v>0.47799680340969641</v>
      </c>
      <c r="AK169" s="106">
        <f t="shared" si="408"/>
        <v>0.46553393358505191</v>
      </c>
      <c r="AL169" s="106">
        <f t="shared" si="408"/>
        <v>0.45072307360241748</v>
      </c>
      <c r="AM169" s="106">
        <f t="shared" si="408"/>
        <v>0.42262642414551266</v>
      </c>
      <c r="AN169" s="106">
        <f t="shared" si="408"/>
        <v>0.36158171725182031</v>
      </c>
      <c r="AO169" s="106">
        <f t="shared" si="408"/>
        <v>0.30969446738232875</v>
      </c>
      <c r="AP169" s="106">
        <f t="shared" si="408"/>
        <v>0.28042611438433607</v>
      </c>
      <c r="AQ169" s="106">
        <f t="shared" si="408"/>
        <v>0.26287689324753427</v>
      </c>
      <c r="AR169" s="106">
        <f t="shared" si="408"/>
        <v>0.27784396261880184</v>
      </c>
      <c r="AS169" s="106">
        <f t="shared" si="408"/>
        <v>0.32490983833951215</v>
      </c>
      <c r="AT169" s="106">
        <f t="shared" si="408"/>
        <v>0.31659307459911679</v>
      </c>
      <c r="AU169" s="106">
        <f t="shared" si="408"/>
        <v>0.30399181166837264</v>
      </c>
      <c r="AV169" s="106">
        <f t="shared" si="408"/>
        <v>0.2566089334548769</v>
      </c>
      <c r="AW169" s="106">
        <f t="shared" si="408"/>
        <v>0.2069136178474893</v>
      </c>
      <c r="AX169" s="106">
        <f t="shared" si="408"/>
        <v>0.20341376449614312</v>
      </c>
      <c r="AY169" s="106">
        <f t="shared" si="408"/>
        <v>0.22807316906695796</v>
      </c>
      <c r="AZ169" s="106">
        <f t="shared" si="408"/>
        <v>0.28276783064595912</v>
      </c>
      <c r="BA169" s="106">
        <f t="shared" si="408"/>
        <v>0.31778752129203203</v>
      </c>
      <c r="BB169" s="106">
        <f t="shared" si="408"/>
        <v>0.28069583583906588</v>
      </c>
      <c r="BC169" s="106">
        <f t="shared" si="408"/>
        <v>0.20163957204390726</v>
      </c>
      <c r="BD169" s="106">
        <f t="shared" si="408"/>
        <v>-8.8811773022299256E-3</v>
      </c>
      <c r="BE169" s="106">
        <f t="shared" si="408"/>
        <v>-0.14462676385049011</v>
      </c>
      <c r="BF169" s="106">
        <f t="shared" si="408"/>
        <v>-0.24198868451794675</v>
      </c>
      <c r="BG169" s="106">
        <f t="shared" si="408"/>
        <v>-0.22160680835318336</v>
      </c>
      <c r="BH169" s="106">
        <f t="shared" si="408"/>
        <v>-0.10095443110200486</v>
      </c>
      <c r="BI169" s="106">
        <f t="shared" si="408"/>
        <v>-9.3746939232394189E-3</v>
      </c>
      <c r="BJ169" s="106">
        <f t="shared" si="408"/>
        <v>9.3963889098738429E-2</v>
      </c>
      <c r="BK169" s="106">
        <f>+BK168/BG168-1</f>
        <v>0.10527801298334749</v>
      </c>
      <c r="BL169" s="106">
        <f t="shared" ref="BL169:BO169" si="409">+BL168/BH168-1</f>
        <v>0.10204964733372757</v>
      </c>
      <c r="BM169" s="106">
        <f t="shared" si="409"/>
        <v>0.10741677142332517</v>
      </c>
      <c r="BN169" s="106">
        <f t="shared" si="409"/>
        <v>0.11049113308656988</v>
      </c>
      <c r="BO169" s="106">
        <f t="shared" si="409"/>
        <v>0.10752110101607437</v>
      </c>
      <c r="BP169" s="106"/>
      <c r="BQ169" s="106"/>
      <c r="BR169" s="164" t="str">
        <f>+IFERROR(BR168/BQ168-1,"n/a")</f>
        <v>n/a</v>
      </c>
      <c r="BS169" s="164" t="str">
        <f t="shared" ref="BS169:CI169" si="410">+IFERROR(BS168/BR168-1,"n/a")</f>
        <v>n/a</v>
      </c>
      <c r="BT169" s="164">
        <f t="shared" si="410"/>
        <v>0.74630541871921174</v>
      </c>
      <c r="BU169" s="164">
        <f t="shared" si="410"/>
        <v>0.50446638457921966</v>
      </c>
      <c r="BV169" s="164">
        <f t="shared" si="410"/>
        <v>0.44343749999999993</v>
      </c>
      <c r="BW169" s="164">
        <f t="shared" si="410"/>
        <v>0.3719419787832865</v>
      </c>
      <c r="BX169" s="164">
        <f t="shared" si="410"/>
        <v>0.45163326495186995</v>
      </c>
      <c r="BY169" s="164">
        <f t="shared" si="410"/>
        <v>0.3796064789651048</v>
      </c>
      <c r="BZ169" s="164">
        <f t="shared" si="410"/>
        <v>0.34331415964069034</v>
      </c>
      <c r="CA169" s="164">
        <f t="shared" si="410"/>
        <v>0.46732754575316759</v>
      </c>
      <c r="CB169" s="164">
        <f t="shared" si="410"/>
        <v>0.42262642414551266</v>
      </c>
      <c r="CC169" s="164">
        <f t="shared" si="410"/>
        <v>0.26287689324753427</v>
      </c>
      <c r="CD169" s="164">
        <f t="shared" si="410"/>
        <v>0.30399181166837264</v>
      </c>
      <c r="CE169" s="164">
        <f t="shared" si="410"/>
        <v>0.22807316906695796</v>
      </c>
      <c r="CF169" s="164">
        <f t="shared" si="410"/>
        <v>0.20163957204390726</v>
      </c>
      <c r="CG169" s="164">
        <f t="shared" si="410"/>
        <v>-0.22160680835318336</v>
      </c>
      <c r="CH169" s="164">
        <f t="shared" si="410"/>
        <v>0.10527801298334749</v>
      </c>
      <c r="CI169" s="164">
        <f t="shared" si="410"/>
        <v>0.10752110101607437</v>
      </c>
    </row>
    <row r="170" spans="2:87" x14ac:dyDescent="0.2">
      <c r="B170" s="60" t="s">
        <v>257</v>
      </c>
      <c r="E170" s="57"/>
      <c r="F170" s="57"/>
      <c r="G170" s="57"/>
      <c r="H170" s="106"/>
      <c r="I170" s="106"/>
      <c r="J170" s="106"/>
      <c r="K170" s="106"/>
      <c r="L170" s="106"/>
      <c r="M170" s="106"/>
      <c r="N170" s="106"/>
      <c r="O170" s="106"/>
      <c r="P170" s="106"/>
      <c r="Q170" s="106"/>
      <c r="R170" s="106"/>
      <c r="S170" s="106"/>
      <c r="T170" s="106"/>
      <c r="U170" s="106"/>
      <c r="V170" s="106"/>
      <c r="W170" s="106"/>
      <c r="X170" s="106"/>
      <c r="Y170" s="106"/>
      <c r="Z170" s="106"/>
      <c r="AA170" s="106"/>
      <c r="AB170" s="106">
        <f>+AB168/AA168-1</f>
        <v>7.1467969427153166E-2</v>
      </c>
      <c r="AC170" s="106">
        <f>+AC168/AB168-1</f>
        <v>6.5965583173996256E-2</v>
      </c>
      <c r="AD170" s="106">
        <f>+AD168/AC168-1</f>
        <v>5.3742669886167604E-2</v>
      </c>
      <c r="AE170" s="106">
        <f>+AE168/AD168-1</f>
        <v>0.11614508314783301</v>
      </c>
      <c r="AF170" s="106">
        <f t="shared" ref="AF170:BJ170" si="411">+AF168/AE168-1</f>
        <v>0.101008916001877</v>
      </c>
      <c r="AG170" s="106">
        <f t="shared" si="411"/>
        <v>0.10058604155567386</v>
      </c>
      <c r="AH170" s="106">
        <f t="shared" si="411"/>
        <v>0.12135734340207183</v>
      </c>
      <c r="AI170" s="106">
        <f t="shared" si="411"/>
        <v>7.9861860565508369E-2</v>
      </c>
      <c r="AJ170" s="106">
        <f t="shared" si="411"/>
        <v>0.10901459124525292</v>
      </c>
      <c r="AK170" s="106">
        <f t="shared" si="411"/>
        <v>9.1305601614879883E-2</v>
      </c>
      <c r="AL170" s="106">
        <f t="shared" si="411"/>
        <v>0.11002477291494639</v>
      </c>
      <c r="AM170" s="106">
        <f t="shared" si="411"/>
        <v>5.8947806939237068E-2</v>
      </c>
      <c r="AN170" s="106">
        <f t="shared" si="411"/>
        <v>6.142692556270557E-2</v>
      </c>
      <c r="AO170" s="106">
        <f t="shared" si="411"/>
        <v>4.9718052577237604E-2</v>
      </c>
      <c r="AP170" s="106">
        <f t="shared" si="411"/>
        <v>8.521853168898641E-2</v>
      </c>
      <c r="AQ170" s="106">
        <f t="shared" si="411"/>
        <v>4.4434115733209323E-2</v>
      </c>
      <c r="AR170" s="106">
        <f t="shared" si="411"/>
        <v>7.4006497263139126E-2</v>
      </c>
      <c r="AS170" s="106">
        <f t="shared" si="411"/>
        <v>8.8381536421645812E-2</v>
      </c>
      <c r="AT170" s="106">
        <f t="shared" si="411"/>
        <v>7.8406365401454403E-2</v>
      </c>
      <c r="AU170" s="106">
        <f t="shared" si="411"/>
        <v>3.44377173318271E-2</v>
      </c>
      <c r="AV170" s="106">
        <f t="shared" si="411"/>
        <v>3.498054740290768E-2</v>
      </c>
      <c r="AW170" s="106">
        <f t="shared" si="411"/>
        <v>4.5339136742836406E-2</v>
      </c>
      <c r="AX170" s="106">
        <f t="shared" si="411"/>
        <v>7.5279162197968486E-2</v>
      </c>
      <c r="AY170" s="106">
        <f t="shared" si="411"/>
        <v>5.5634598178271322E-2</v>
      </c>
      <c r="AZ170" s="106">
        <f t="shared" si="411"/>
        <v>8.1075448103376413E-2</v>
      </c>
      <c r="BA170" s="106">
        <f t="shared" si="411"/>
        <v>7.3877000192789755E-2</v>
      </c>
      <c r="BB170" s="106">
        <f t="shared" si="411"/>
        <v>4.5013344823046531E-2</v>
      </c>
      <c r="BC170" s="106">
        <f t="shared" si="411"/>
        <v>-9.5288269922348956E-3</v>
      </c>
      <c r="BD170" s="106">
        <f t="shared" si="411"/>
        <v>-0.10832311926181171</v>
      </c>
      <c r="BE170" s="106">
        <f t="shared" si="411"/>
        <v>-7.3203309386103643E-2</v>
      </c>
      <c r="BF170" s="106">
        <f t="shared" si="411"/>
        <v>-7.393415326924957E-2</v>
      </c>
      <c r="BG170" s="106">
        <f t="shared" si="411"/>
        <v>1.7103573317216902E-2</v>
      </c>
      <c r="BH170" s="106">
        <f t="shared" si="411"/>
        <v>2.9888438284534358E-2</v>
      </c>
      <c r="BI170" s="106">
        <f t="shared" si="411"/>
        <v>2.1203248279940468E-2</v>
      </c>
      <c r="BJ170" s="106">
        <f t="shared" si="411"/>
        <v>2.2669811720504418E-2</v>
      </c>
      <c r="BK170" s="106">
        <f>+BK168/BJ168-1</f>
        <v>2.762278327164247E-2</v>
      </c>
      <c r="BL170" s="106">
        <f t="shared" ref="BL170:BO170" si="412">+BL168/BK168-1</f>
        <v>2.6880275254018704E-2</v>
      </c>
      <c r="BM170" s="106">
        <f t="shared" si="412"/>
        <v>2.6176639966493997E-2</v>
      </c>
      <c r="BN170" s="106">
        <f t="shared" si="412"/>
        <v>2.5508902607009887E-2</v>
      </c>
      <c r="BO170" s="106">
        <f t="shared" si="412"/>
        <v>2.4874384358987145E-2</v>
      </c>
      <c r="BP170" s="106"/>
      <c r="BQ170" s="106"/>
      <c r="BR170" s="106"/>
      <c r="BS170" s="106"/>
      <c r="BT170" s="106"/>
      <c r="BU170" s="106"/>
      <c r="BV170" s="106"/>
      <c r="BW170" s="106"/>
      <c r="BX170" s="106"/>
      <c r="BY170" s="106"/>
      <c r="BZ170" s="106"/>
      <c r="CA170" s="106"/>
      <c r="CB170" s="106"/>
      <c r="CC170" s="106"/>
      <c r="CD170" s="106"/>
      <c r="CE170" s="68"/>
      <c r="CF170" s="68"/>
      <c r="CG170" s="68"/>
      <c r="CH170" s="68"/>
      <c r="CI170" s="68"/>
    </row>
    <row r="171" spans="2:87" x14ac:dyDescent="0.2">
      <c r="B171" s="60" t="s">
        <v>297</v>
      </c>
      <c r="E171" s="57"/>
      <c r="F171" s="57"/>
      <c r="G171" s="57"/>
      <c r="H171" s="106"/>
      <c r="I171" s="106"/>
      <c r="J171" s="106"/>
      <c r="K171" s="106"/>
      <c r="L171" s="106"/>
      <c r="M171" s="106"/>
      <c r="N171" s="106"/>
      <c r="O171" s="106"/>
      <c r="P171" s="106"/>
      <c r="Q171" s="106"/>
      <c r="R171" s="106"/>
      <c r="S171" s="106"/>
      <c r="T171" s="106"/>
      <c r="U171" s="106"/>
      <c r="V171" s="106"/>
      <c r="W171" s="106"/>
      <c r="X171" s="106"/>
      <c r="Y171" s="106"/>
      <c r="Z171" s="106"/>
      <c r="AA171" s="106"/>
      <c r="AB171" s="95">
        <f>+AB168-AA168</f>
        <v>907</v>
      </c>
      <c r="AC171" s="95">
        <f>+AC168-AB168</f>
        <v>897</v>
      </c>
      <c r="AD171" s="95">
        <f>+AD168-AC168</f>
        <v>779</v>
      </c>
      <c r="AE171" s="95">
        <f>+AE168-AD168</f>
        <v>1774</v>
      </c>
      <c r="AF171" s="95">
        <f t="shared" ref="AF171:BJ171" si="413">+AF168-AE168</f>
        <v>1722</v>
      </c>
      <c r="AG171" s="95">
        <f t="shared" si="413"/>
        <v>1888</v>
      </c>
      <c r="AH171" s="95">
        <f t="shared" si="413"/>
        <v>2507</v>
      </c>
      <c r="AI171" s="95">
        <f t="shared" si="413"/>
        <v>1850</v>
      </c>
      <c r="AJ171" s="95">
        <f t="shared" si="413"/>
        <v>2727</v>
      </c>
      <c r="AK171" s="95">
        <f t="shared" si="413"/>
        <v>2533</v>
      </c>
      <c r="AL171" s="95">
        <f t="shared" si="413"/>
        <v>3331</v>
      </c>
      <c r="AM171" s="95">
        <f t="shared" si="413"/>
        <v>1981</v>
      </c>
      <c r="AN171" s="95">
        <f t="shared" si="413"/>
        <v>2186</v>
      </c>
      <c r="AO171" s="95">
        <f t="shared" si="413"/>
        <v>1878</v>
      </c>
      <c r="AP171" s="95">
        <f t="shared" si="413"/>
        <v>3379</v>
      </c>
      <c r="AQ171" s="95">
        <f t="shared" si="413"/>
        <v>1912</v>
      </c>
      <c r="AR171" s="95">
        <f t="shared" si="413"/>
        <v>3326</v>
      </c>
      <c r="AS171" s="95">
        <f t="shared" si="413"/>
        <v>4266</v>
      </c>
      <c r="AT171" s="95">
        <f t="shared" si="413"/>
        <v>4119</v>
      </c>
      <c r="AU171" s="95">
        <f t="shared" si="413"/>
        <v>1951</v>
      </c>
      <c r="AV171" s="95">
        <f t="shared" si="413"/>
        <v>2050</v>
      </c>
      <c r="AW171" s="95">
        <f t="shared" si="413"/>
        <v>2750</v>
      </c>
      <c r="AX171" s="95">
        <f t="shared" si="413"/>
        <v>4773</v>
      </c>
      <c r="AY171" s="95">
        <f t="shared" si="413"/>
        <v>3793</v>
      </c>
      <c r="AZ171" s="95">
        <f t="shared" si="413"/>
        <v>5835</v>
      </c>
      <c r="BA171" s="95">
        <f t="shared" si="413"/>
        <v>5748</v>
      </c>
      <c r="BB171" s="95">
        <f t="shared" si="413"/>
        <v>3761</v>
      </c>
      <c r="BC171" s="95">
        <f t="shared" si="413"/>
        <v>-832</v>
      </c>
      <c r="BD171" s="95">
        <f t="shared" si="413"/>
        <v>-9368</v>
      </c>
      <c r="BE171" s="95">
        <f t="shared" si="413"/>
        <v>-5645</v>
      </c>
      <c r="BF171" s="95">
        <f t="shared" si="413"/>
        <v>-5284</v>
      </c>
      <c r="BG171" s="95">
        <f t="shared" si="413"/>
        <v>1132</v>
      </c>
      <c r="BH171" s="95">
        <f t="shared" si="413"/>
        <v>2012</v>
      </c>
      <c r="BI171" s="95">
        <f t="shared" si="413"/>
        <v>1470</v>
      </c>
      <c r="BJ171" s="95">
        <f t="shared" si="413"/>
        <v>1605</v>
      </c>
      <c r="BK171" s="144">
        <v>2000</v>
      </c>
      <c r="BL171" s="144">
        <v>2000</v>
      </c>
      <c r="BM171" s="144">
        <v>2000</v>
      </c>
      <c r="BN171" s="144">
        <v>2000</v>
      </c>
      <c r="BO171" s="144">
        <v>2000</v>
      </c>
      <c r="BP171" s="106"/>
      <c r="BQ171" s="95"/>
      <c r="BR171" s="203" t="str">
        <f>+IFERROR(BR168-BQ168,"n/a")</f>
        <v>n/a</v>
      </c>
      <c r="BS171" s="203" t="str">
        <f t="shared" ref="BS171:CI171" si="414">+IFERROR(BS168-BR168,"n/a")</f>
        <v>n/a</v>
      </c>
      <c r="BT171" s="203">
        <f t="shared" si="414"/>
        <v>909</v>
      </c>
      <c r="BU171" s="203">
        <f t="shared" si="414"/>
        <v>1073</v>
      </c>
      <c r="BV171" s="203">
        <f t="shared" si="414"/>
        <v>1419</v>
      </c>
      <c r="BW171" s="203">
        <f t="shared" si="414"/>
        <v>1718</v>
      </c>
      <c r="BX171" s="203">
        <f t="shared" si="414"/>
        <v>2862</v>
      </c>
      <c r="BY171" s="203">
        <f t="shared" si="414"/>
        <v>3492</v>
      </c>
      <c r="BZ171" s="203">
        <f t="shared" si="414"/>
        <v>4357</v>
      </c>
      <c r="CA171" s="203">
        <f t="shared" si="414"/>
        <v>7967</v>
      </c>
      <c r="CB171" s="203">
        <f t="shared" si="414"/>
        <v>10572</v>
      </c>
      <c r="CC171" s="203">
        <f t="shared" si="414"/>
        <v>9355</v>
      </c>
      <c r="CD171" s="203">
        <f t="shared" si="414"/>
        <v>13662</v>
      </c>
      <c r="CE171" s="203">
        <f t="shared" si="414"/>
        <v>13366</v>
      </c>
      <c r="CF171" s="203">
        <f t="shared" si="414"/>
        <v>14512</v>
      </c>
      <c r="CG171" s="203">
        <f t="shared" si="414"/>
        <v>-19165</v>
      </c>
      <c r="CH171" s="203">
        <f t="shared" si="414"/>
        <v>7087</v>
      </c>
      <c r="CI171" s="203">
        <f t="shared" si="414"/>
        <v>8000</v>
      </c>
    </row>
    <row r="172" spans="2:87" x14ac:dyDescent="0.2">
      <c r="B172" s="101" t="s">
        <v>17</v>
      </c>
      <c r="E172" s="57"/>
      <c r="F172" s="57"/>
      <c r="G172" s="57"/>
      <c r="H172" s="106"/>
      <c r="I172" s="106"/>
      <c r="J172" s="106"/>
      <c r="K172" s="106"/>
      <c r="L172" s="106"/>
      <c r="M172" s="106"/>
      <c r="N172" s="106"/>
      <c r="O172" s="106"/>
      <c r="P172" s="106"/>
      <c r="Q172" s="106"/>
      <c r="R172" s="106"/>
      <c r="S172" s="106"/>
      <c r="T172" s="106"/>
      <c r="U172" s="106"/>
      <c r="V172" s="106"/>
      <c r="W172" s="106"/>
      <c r="X172" s="106"/>
      <c r="Y172" s="106"/>
      <c r="Z172" s="106"/>
      <c r="AA172" s="106"/>
      <c r="AB172" s="95"/>
      <c r="AC172" s="95"/>
      <c r="AD172" s="95"/>
      <c r="AE172" s="95"/>
      <c r="AF172" s="106">
        <f t="shared" ref="AF172:AV172" si="415">+AF171/AB171-1</f>
        <v>0.89856670341786105</v>
      </c>
      <c r="AG172" s="106">
        <f t="shared" si="415"/>
        <v>1.1047937569676698</v>
      </c>
      <c r="AH172" s="106">
        <f t="shared" si="415"/>
        <v>2.2182284980744544</v>
      </c>
      <c r="AI172" s="106">
        <f t="shared" si="415"/>
        <v>4.284103720405863E-2</v>
      </c>
      <c r="AJ172" s="106">
        <f t="shared" si="415"/>
        <v>0.58362369337979092</v>
      </c>
      <c r="AK172" s="106">
        <f t="shared" si="415"/>
        <v>0.34163135593220328</v>
      </c>
      <c r="AL172" s="106">
        <f t="shared" si="415"/>
        <v>0.32867969684882326</v>
      </c>
      <c r="AM172" s="106">
        <f t="shared" si="415"/>
        <v>7.0810810810810754E-2</v>
      </c>
      <c r="AN172" s="106">
        <f t="shared" si="415"/>
        <v>-0.19838650531719837</v>
      </c>
      <c r="AO172" s="106">
        <f t="shared" si="415"/>
        <v>-0.2585866561389657</v>
      </c>
      <c r="AP172" s="106">
        <f t="shared" si="415"/>
        <v>1.4410087060942711E-2</v>
      </c>
      <c r="AQ172" s="106">
        <f t="shared" si="415"/>
        <v>-3.4830893488137282E-2</v>
      </c>
      <c r="AR172" s="106">
        <f t="shared" si="415"/>
        <v>0.52150045745654161</v>
      </c>
      <c r="AS172" s="106">
        <f t="shared" si="415"/>
        <v>1.2715654952076676</v>
      </c>
      <c r="AT172" s="106">
        <f t="shared" si="415"/>
        <v>0.21899970405445401</v>
      </c>
      <c r="AU172" s="106">
        <f t="shared" si="415"/>
        <v>2.0397489539748959E-2</v>
      </c>
      <c r="AV172" s="106">
        <f t="shared" si="415"/>
        <v>-0.38364401683704152</v>
      </c>
      <c r="AW172" s="106">
        <f t="shared" ref="AW172:BJ172" si="416">+AW171/AS171-1</f>
        <v>-0.35536802625410224</v>
      </c>
      <c r="AX172" s="106">
        <f t="shared" si="416"/>
        <v>0.15877640203932986</v>
      </c>
      <c r="AY172" s="106">
        <f t="shared" si="416"/>
        <v>0.94413121476166073</v>
      </c>
      <c r="AZ172" s="106">
        <f t="shared" si="416"/>
        <v>1.846341463414634</v>
      </c>
      <c r="BA172" s="106">
        <f t="shared" si="416"/>
        <v>1.0901818181818181</v>
      </c>
      <c r="BB172" s="106">
        <f t="shared" si="416"/>
        <v>-0.21202597946783996</v>
      </c>
      <c r="BC172" s="106">
        <f t="shared" si="416"/>
        <v>-1.2193514368573688</v>
      </c>
      <c r="BD172" s="106">
        <f t="shared" si="416"/>
        <v>-2.6054841473864609</v>
      </c>
      <c r="BE172" s="106">
        <f t="shared" si="416"/>
        <v>-1.9820807237299931</v>
      </c>
      <c r="BF172" s="106">
        <f t="shared" si="416"/>
        <v>-2.4049454932198886</v>
      </c>
      <c r="BG172" s="106">
        <f t="shared" si="416"/>
        <v>-2.3605769230769234</v>
      </c>
      <c r="BH172" s="106">
        <f t="shared" si="416"/>
        <v>-1.2147736976942785</v>
      </c>
      <c r="BI172" s="106">
        <f t="shared" si="416"/>
        <v>-1.2604074402125776</v>
      </c>
      <c r="BJ172" s="106">
        <f t="shared" si="416"/>
        <v>-1.3037471612414837</v>
      </c>
      <c r="BK172" s="106">
        <f>+BK171/BG171-1</f>
        <v>0.76678445229681969</v>
      </c>
      <c r="BL172" s="106">
        <f t="shared" ref="BL172:BO172" si="417">+BL171/BH171-1</f>
        <v>-5.9642147117295874E-3</v>
      </c>
      <c r="BM172" s="106">
        <f t="shared" si="417"/>
        <v>0.36054421768707479</v>
      </c>
      <c r="BN172" s="106">
        <f t="shared" si="417"/>
        <v>0.24610591900311518</v>
      </c>
      <c r="BO172" s="106">
        <f t="shared" si="417"/>
        <v>0</v>
      </c>
      <c r="BP172" s="106"/>
      <c r="BQ172" s="106"/>
      <c r="BR172" s="106"/>
      <c r="BS172" s="106"/>
      <c r="BT172" s="106"/>
      <c r="BU172" s="106"/>
      <c r="BV172" s="106"/>
      <c r="BW172" s="106"/>
      <c r="BX172" s="106"/>
      <c r="BY172" s="106"/>
      <c r="BZ172" s="95"/>
      <c r="CA172" s="106">
        <f t="shared" ref="CA172:CI172" si="418">+CA171/BZ171-1</f>
        <v>0.82855175579527196</v>
      </c>
      <c r="CB172" s="106">
        <f t="shared" si="418"/>
        <v>0.32697376678800061</v>
      </c>
      <c r="CC172" s="106">
        <f t="shared" si="418"/>
        <v>-0.1151153991676126</v>
      </c>
      <c r="CD172" s="106">
        <f t="shared" si="418"/>
        <v>0.46039551042223414</v>
      </c>
      <c r="CE172" s="106">
        <f t="shared" si="418"/>
        <v>-2.1665934709412915E-2</v>
      </c>
      <c r="CF172" s="106">
        <f t="shared" si="418"/>
        <v>8.5739937153972656E-2</v>
      </c>
      <c r="CG172" s="106">
        <f t="shared" si="418"/>
        <v>-2.3206312017640576</v>
      </c>
      <c r="CH172" s="106">
        <f t="shared" si="418"/>
        <v>-1.3697886772762848</v>
      </c>
      <c r="CI172" s="106">
        <f t="shared" si="418"/>
        <v>0.12882743050656131</v>
      </c>
    </row>
    <row r="173" spans="2:87" x14ac:dyDescent="0.2">
      <c r="B173" s="101" t="s">
        <v>257</v>
      </c>
      <c r="E173" s="57"/>
      <c r="F173" s="57"/>
      <c r="G173" s="57"/>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f t="shared" ref="AC173:AV173" si="419">+AC171/AB171-1</f>
        <v>-1.1025358324145529E-2</v>
      </c>
      <c r="AD173" s="106">
        <f t="shared" si="419"/>
        <v>-0.13154960981047936</v>
      </c>
      <c r="AE173" s="106">
        <f t="shared" si="419"/>
        <v>1.2772785622593066</v>
      </c>
      <c r="AF173" s="106">
        <f t="shared" si="419"/>
        <v>-2.9312288613303261E-2</v>
      </c>
      <c r="AG173" s="106">
        <f t="shared" si="419"/>
        <v>9.6399535423925764E-2</v>
      </c>
      <c r="AH173" s="106">
        <f t="shared" si="419"/>
        <v>0.32786016949152552</v>
      </c>
      <c r="AI173" s="106">
        <f t="shared" si="419"/>
        <v>-0.26206621459912249</v>
      </c>
      <c r="AJ173" s="106">
        <f t="shared" si="419"/>
        <v>0.4740540540540541</v>
      </c>
      <c r="AK173" s="106">
        <f t="shared" si="419"/>
        <v>-7.1140447378071126E-2</v>
      </c>
      <c r="AL173" s="106">
        <f t="shared" si="419"/>
        <v>0.31504145282273988</v>
      </c>
      <c r="AM173" s="106">
        <f t="shared" si="419"/>
        <v>-0.40528369858901225</v>
      </c>
      <c r="AN173" s="106">
        <f t="shared" si="419"/>
        <v>0.10348308934881367</v>
      </c>
      <c r="AO173" s="106">
        <f t="shared" si="419"/>
        <v>-0.14089661482159199</v>
      </c>
      <c r="AP173" s="106">
        <f t="shared" si="419"/>
        <v>0.79925452609158687</v>
      </c>
      <c r="AQ173" s="106">
        <f t="shared" si="419"/>
        <v>-0.43415211601065407</v>
      </c>
      <c r="AR173" s="106">
        <f t="shared" si="419"/>
        <v>0.73953974895397478</v>
      </c>
      <c r="AS173" s="106">
        <f t="shared" si="419"/>
        <v>0.28262176788935656</v>
      </c>
      <c r="AT173" s="106">
        <f t="shared" si="419"/>
        <v>-3.4458509142053395E-2</v>
      </c>
      <c r="AU173" s="106">
        <f t="shared" si="419"/>
        <v>-0.5263413449866472</v>
      </c>
      <c r="AV173" s="106">
        <f t="shared" si="419"/>
        <v>5.0743208610968704E-2</v>
      </c>
      <c r="AW173" s="106">
        <f t="shared" ref="AW173:BJ173" si="420">+AW171/AV171-1</f>
        <v>0.34146341463414642</v>
      </c>
      <c r="AX173" s="106">
        <f t="shared" si="420"/>
        <v>0.73563636363636364</v>
      </c>
      <c r="AY173" s="106">
        <f t="shared" si="420"/>
        <v>-0.20532160067043792</v>
      </c>
      <c r="AZ173" s="106">
        <f t="shared" si="420"/>
        <v>0.53836013709464803</v>
      </c>
      <c r="BA173" s="106">
        <f t="shared" si="420"/>
        <v>-1.4910025706940888E-2</v>
      </c>
      <c r="BB173" s="106">
        <f t="shared" si="420"/>
        <v>-0.34568545581071675</v>
      </c>
      <c r="BC173" s="106">
        <f t="shared" si="420"/>
        <v>-1.2212177612337145</v>
      </c>
      <c r="BD173" s="106">
        <f t="shared" si="420"/>
        <v>10.259615384615385</v>
      </c>
      <c r="BE173" s="106">
        <f t="shared" si="420"/>
        <v>-0.3974167378309138</v>
      </c>
      <c r="BF173" s="106">
        <f t="shared" si="420"/>
        <v>-6.3950398582816703E-2</v>
      </c>
      <c r="BG173" s="106">
        <f t="shared" si="420"/>
        <v>-1.214231642694928</v>
      </c>
      <c r="BH173" s="106">
        <f t="shared" si="420"/>
        <v>0.77738515901060068</v>
      </c>
      <c r="BI173" s="106">
        <f t="shared" si="420"/>
        <v>-0.26938369781312133</v>
      </c>
      <c r="BJ173" s="106">
        <f t="shared" si="420"/>
        <v>9.1836734693877542E-2</v>
      </c>
      <c r="BK173" s="106">
        <f>+BK171/BJ171-1</f>
        <v>0.24610591900311518</v>
      </c>
      <c r="BL173" s="106">
        <f t="shared" ref="BL173:BO173" si="421">+BL171/BK171-1</f>
        <v>0</v>
      </c>
      <c r="BM173" s="106">
        <f t="shared" si="421"/>
        <v>0</v>
      </c>
      <c r="BN173" s="106">
        <f t="shared" si="421"/>
        <v>0</v>
      </c>
      <c r="BO173" s="106">
        <f t="shared" si="421"/>
        <v>0</v>
      </c>
      <c r="BP173" s="106"/>
      <c r="BQ173" s="106"/>
      <c r="BR173" s="106"/>
      <c r="BS173" s="106"/>
      <c r="BT173" s="106"/>
      <c r="BU173" s="106"/>
      <c r="BV173" s="106"/>
      <c r="BW173" s="106"/>
      <c r="BX173" s="106"/>
      <c r="BY173" s="106"/>
      <c r="BZ173" s="95"/>
      <c r="CA173" s="95"/>
      <c r="CB173" s="95"/>
      <c r="CC173" s="95"/>
      <c r="CD173" s="95"/>
      <c r="CE173" s="95"/>
      <c r="CF173" s="95"/>
      <c r="CG173" s="95"/>
      <c r="CH173" s="95"/>
      <c r="CI173" s="95"/>
    </row>
    <row r="174" spans="2:87" x14ac:dyDescent="0.2">
      <c r="B174" s="60"/>
      <c r="E174" s="57"/>
      <c r="F174" s="57"/>
      <c r="G174" s="57"/>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80"/>
      <c r="AF174" s="80"/>
      <c r="AG174" s="80"/>
      <c r="AH174" s="80"/>
      <c r="AI174" s="80"/>
      <c r="AJ174" s="80"/>
      <c r="AK174" s="80"/>
      <c r="AL174" s="80"/>
      <c r="AM174" s="80"/>
      <c r="AN174" s="80"/>
      <c r="AO174" s="80"/>
      <c r="AP174" s="80"/>
      <c r="AQ174" s="80"/>
      <c r="AR174" s="80"/>
      <c r="AS174" s="80"/>
      <c r="AT174" s="80"/>
      <c r="AU174" s="80"/>
      <c r="AV174" s="80"/>
      <c r="AW174" s="80"/>
      <c r="AX174" s="80"/>
      <c r="AY174" s="106"/>
      <c r="AZ174" s="106"/>
      <c r="BA174" s="106"/>
      <c r="BB174" s="106"/>
      <c r="BC174" s="106"/>
      <c r="BD174" s="106"/>
      <c r="BE174" s="106"/>
      <c r="BF174" s="106"/>
      <c r="BG174" s="106"/>
      <c r="BH174" s="106"/>
      <c r="BI174" s="106"/>
      <c r="BJ174" s="106"/>
      <c r="BK174" s="106"/>
      <c r="BL174" s="106"/>
      <c r="BM174" s="106"/>
      <c r="BN174" s="106"/>
      <c r="BO174" s="106"/>
      <c r="BP174" s="106"/>
      <c r="BQ174" s="106"/>
      <c r="BR174" s="106"/>
      <c r="BS174" s="106"/>
      <c r="BT174" s="106"/>
      <c r="BU174" s="106"/>
      <c r="BV174" s="106"/>
      <c r="BW174" s="106"/>
      <c r="BX174" s="106"/>
      <c r="BY174" s="106"/>
      <c r="BZ174" s="106"/>
      <c r="CA174" s="106"/>
      <c r="CB174" s="106"/>
      <c r="CC174" s="106"/>
      <c r="CD174" s="106"/>
      <c r="CE174" s="68"/>
      <c r="CF174" s="68"/>
      <c r="CG174" s="68"/>
      <c r="CH174" s="68"/>
      <c r="CI174" s="68"/>
    </row>
    <row r="175" spans="2:87" x14ac:dyDescent="0.2">
      <c r="B175" t="s">
        <v>299</v>
      </c>
      <c r="E175" s="57"/>
      <c r="F175" s="57"/>
      <c r="G175" s="57"/>
      <c r="H175" s="106"/>
      <c r="I175" s="106"/>
      <c r="J175" s="106"/>
      <c r="K175" s="106"/>
      <c r="L175" s="106"/>
      <c r="M175" s="106"/>
      <c r="N175" s="106"/>
      <c r="O175" s="106"/>
      <c r="P175" s="106"/>
      <c r="Q175" s="106"/>
      <c r="R175" s="106"/>
      <c r="S175" s="106"/>
      <c r="T175" s="106"/>
      <c r="U175" s="106"/>
      <c r="V175" s="106"/>
      <c r="W175" s="106"/>
      <c r="X175" s="106"/>
      <c r="Y175" s="106"/>
      <c r="Z175" s="106"/>
      <c r="AA175" s="106"/>
      <c r="AB175" s="228">
        <f t="shared" ref="AB175:BJ175" si="422">+AB32/AVERAGE(AA168:AB168)</f>
        <v>0.19278025029480012</v>
      </c>
      <c r="AC175" s="228">
        <f t="shared" si="422"/>
        <v>0.19827003168048979</v>
      </c>
      <c r="AD175" s="228">
        <f t="shared" si="422"/>
        <v>0.19530383956464778</v>
      </c>
      <c r="AE175" s="228">
        <f t="shared" si="422"/>
        <v>0.19776003960150981</v>
      </c>
      <c r="AF175" s="228">
        <f t="shared" si="422"/>
        <v>0.19800100508124407</v>
      </c>
      <c r="AG175" s="228">
        <f t="shared" si="422"/>
        <v>0.18682154813837881</v>
      </c>
      <c r="AH175" s="228">
        <f t="shared" si="422"/>
        <v>0.1715081121785364</v>
      </c>
      <c r="AI175" s="228">
        <f t="shared" si="422"/>
        <v>0.16641760066417602</v>
      </c>
      <c r="AJ175" s="228">
        <f t="shared" si="422"/>
        <v>0.17400534526224007</v>
      </c>
      <c r="AK175" s="228">
        <f t="shared" si="422"/>
        <v>0.17767206163710636</v>
      </c>
      <c r="AL175" s="228">
        <f t="shared" si="422"/>
        <v>0.17307180538814357</v>
      </c>
      <c r="AM175" s="228">
        <f t="shared" si="422"/>
        <v>0.18204153599352535</v>
      </c>
      <c r="AN175" s="228">
        <f t="shared" si="422"/>
        <v>0.16205016357688112</v>
      </c>
      <c r="AO175" s="228">
        <f t="shared" si="422"/>
        <v>0.17960839016325686</v>
      </c>
      <c r="AP175" s="228">
        <f t="shared" si="422"/>
        <v>0.17687255838705385</v>
      </c>
      <c r="AQ175" s="228">
        <f t="shared" si="422"/>
        <v>0.18601373164188606</v>
      </c>
      <c r="AR175" s="228">
        <f t="shared" si="422"/>
        <v>0.1799163179916318</v>
      </c>
      <c r="AS175" s="228">
        <f t="shared" si="422"/>
        <v>0.1764845935596516</v>
      </c>
      <c r="AT175" s="228">
        <f t="shared" si="422"/>
        <v>0.16917764935386082</v>
      </c>
      <c r="AU175" s="228">
        <f t="shared" si="422"/>
        <v>0.17503492195701781</v>
      </c>
      <c r="AV175" s="228">
        <f t="shared" si="422"/>
        <v>0.16203525130389576</v>
      </c>
      <c r="AW175" s="228">
        <f t="shared" si="422"/>
        <v>0.18235019103967498</v>
      </c>
      <c r="AX175" s="228">
        <f t="shared" si="422"/>
        <v>0.19480016111748658</v>
      </c>
      <c r="AY175" s="228">
        <f t="shared" si="422"/>
        <v>0.21032201902288311</v>
      </c>
      <c r="AZ175" s="228">
        <f t="shared" si="422"/>
        <v>0.1786546486396261</v>
      </c>
      <c r="BA175" s="228">
        <f t="shared" si="422"/>
        <v>0.18929337250089862</v>
      </c>
      <c r="BB175" s="228">
        <f t="shared" si="422"/>
        <v>0.18674173479958095</v>
      </c>
      <c r="BC175" s="228">
        <f t="shared" si="422"/>
        <v>0.16909480080093903</v>
      </c>
      <c r="BD175" s="228">
        <f t="shared" si="422"/>
        <v>0.17183794224797672</v>
      </c>
      <c r="BE175" s="228">
        <f t="shared" si="422"/>
        <v>0.18804304664732843</v>
      </c>
      <c r="BF175" s="228">
        <f t="shared" si="422"/>
        <v>0.20080782251151438</v>
      </c>
      <c r="BG175" s="228">
        <f t="shared" si="422"/>
        <v>0.22437117046935626</v>
      </c>
      <c r="BH175" s="228">
        <f t="shared" si="422"/>
        <v>0.23083002795544691</v>
      </c>
      <c r="BI175" s="228">
        <f t="shared" si="422"/>
        <v>0.22145467001598537</v>
      </c>
      <c r="BJ175" s="228">
        <f t="shared" si="422"/>
        <v>0.22155960419823606</v>
      </c>
      <c r="BK175" s="228">
        <f>+BG175*(1+BK176)</f>
        <v>0.2400771524022112</v>
      </c>
      <c r="BL175" s="228">
        <f t="shared" ref="BL175:BO175" si="423">+BH175*(1+BL176)</f>
        <v>0.23775492879411031</v>
      </c>
      <c r="BM175" s="228">
        <f t="shared" si="423"/>
        <v>0.22809831011646495</v>
      </c>
      <c r="BN175" s="228">
        <f t="shared" si="423"/>
        <v>0.23263758440814788</v>
      </c>
      <c r="BO175" s="228">
        <f t="shared" si="423"/>
        <v>0.24727946697427755</v>
      </c>
      <c r="BP175" s="106"/>
      <c r="BQ175" s="83" t="s">
        <v>127</v>
      </c>
      <c r="BR175" s="83" t="s">
        <v>127</v>
      </c>
      <c r="BS175" s="83" t="s">
        <v>127</v>
      </c>
      <c r="BT175" s="228">
        <f>BT179/AVERAGE(BS168:BT168)</f>
        <v>0.26846038863976085</v>
      </c>
      <c r="BU175" s="228">
        <f t="shared" ref="BU175:CI175" si="424">BU179/AVERAGE(BT168:BU168)</f>
        <v>0.4107377510794068</v>
      </c>
      <c r="BV175" s="228">
        <f t="shared" si="424"/>
        <v>0.81519375879268452</v>
      </c>
      <c r="BW175" s="228">
        <f t="shared" si="424"/>
        <v>0.58269441401971522</v>
      </c>
      <c r="BX175" s="228">
        <f t="shared" si="424"/>
        <v>0.68460350154479921</v>
      </c>
      <c r="BY175" s="228">
        <f t="shared" si="424"/>
        <v>0.80730927364093197</v>
      </c>
      <c r="BZ175" s="228">
        <f t="shared" si="424"/>
        <v>0.76814956790746158</v>
      </c>
      <c r="CA175" s="228">
        <f t="shared" si="424"/>
        <v>0.71302569954591921</v>
      </c>
      <c r="CB175" s="228">
        <f t="shared" si="424"/>
        <v>0.71185769446552916</v>
      </c>
      <c r="CC175" s="228">
        <f t="shared" si="424"/>
        <v>0.70511244396428618</v>
      </c>
      <c r="CD175" s="228">
        <f t="shared" si="424"/>
        <v>0.70699012999053557</v>
      </c>
      <c r="CE175" s="228">
        <f t="shared" si="424"/>
        <v>0.74328733132170266</v>
      </c>
      <c r="CF175" s="228">
        <f t="shared" si="424"/>
        <v>0.74847903466033883</v>
      </c>
      <c r="CG175" s="228">
        <f t="shared" si="424"/>
        <v>0.7389384846455439</v>
      </c>
      <c r="CH175" s="228">
        <f t="shared" si="424"/>
        <v>0.91410056794592065</v>
      </c>
      <c r="CI175" s="228">
        <f t="shared" si="424"/>
        <v>0.94619262702112916</v>
      </c>
    </row>
    <row r="176" spans="2:87" x14ac:dyDescent="0.2">
      <c r="B176" s="60" t="s">
        <v>17</v>
      </c>
      <c r="E176" s="57"/>
      <c r="F176" s="57"/>
      <c r="G176" s="57"/>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f t="shared" ref="AF176:BJ176" si="425">+AF175/AB175-1</f>
        <v>2.7081377778379156E-2</v>
      </c>
      <c r="AG176" s="106">
        <f t="shared" si="425"/>
        <v>-5.7741875789681041E-2</v>
      </c>
      <c r="AH176" s="106">
        <f t="shared" si="425"/>
        <v>-0.12183952675561571</v>
      </c>
      <c r="AI176" s="106">
        <f t="shared" si="425"/>
        <v>-0.15848722017091721</v>
      </c>
      <c r="AJ176" s="106">
        <f t="shared" si="425"/>
        <v>-0.12118958592739504</v>
      </c>
      <c r="AK176" s="106">
        <f t="shared" si="425"/>
        <v>-4.8974471052426027E-2</v>
      </c>
      <c r="AL176" s="106">
        <f t="shared" si="425"/>
        <v>9.1173134013591284E-3</v>
      </c>
      <c r="AM176" s="106">
        <f t="shared" si="425"/>
        <v>9.3883911719637059E-2</v>
      </c>
      <c r="AN176" s="106">
        <f t="shared" si="425"/>
        <v>-6.8705830084366259E-2</v>
      </c>
      <c r="AO176" s="106">
        <f t="shared" si="425"/>
        <v>1.0898328686619552E-2</v>
      </c>
      <c r="AP176" s="106">
        <f t="shared" si="425"/>
        <v>2.1960555564705775E-2</v>
      </c>
      <c r="AQ176" s="106">
        <f t="shared" si="425"/>
        <v>2.1820270998493374E-2</v>
      </c>
      <c r="AR176" s="106">
        <f t="shared" si="425"/>
        <v>0.11025076445710891</v>
      </c>
      <c r="AS176" s="106">
        <f t="shared" si="425"/>
        <v>-1.7392264363406684E-2</v>
      </c>
      <c r="AT176" s="106">
        <f t="shared" si="425"/>
        <v>-4.3505386609233643E-2</v>
      </c>
      <c r="AU176" s="106">
        <f t="shared" si="425"/>
        <v>-5.9021501197581872E-2</v>
      </c>
      <c r="AV176" s="106">
        <f t="shared" si="425"/>
        <v>-9.9385463682997943E-2</v>
      </c>
      <c r="AW176" s="106">
        <f t="shared" si="425"/>
        <v>3.3235748014688982E-2</v>
      </c>
      <c r="AX176" s="106">
        <f t="shared" si="425"/>
        <v>0.15145329103156158</v>
      </c>
      <c r="AY176" s="106">
        <f t="shared" si="425"/>
        <v>0.20160032450284704</v>
      </c>
      <c r="AZ176" s="106">
        <f t="shared" si="425"/>
        <v>0.10256655389487324</v>
      </c>
      <c r="BA176" s="106">
        <f t="shared" si="425"/>
        <v>3.8076085479466171E-2</v>
      </c>
      <c r="BB176" s="106">
        <f t="shared" si="425"/>
        <v>-4.1367657355506404E-2</v>
      </c>
      <c r="BC176" s="106">
        <f t="shared" si="425"/>
        <v>-0.19601950577251992</v>
      </c>
      <c r="BD176" s="106">
        <f t="shared" si="425"/>
        <v>-3.8155773967011197E-2</v>
      </c>
      <c r="BE176" s="106">
        <f t="shared" si="425"/>
        <v>-6.6052278378856411E-3</v>
      </c>
      <c r="BF176" s="106">
        <f t="shared" si="425"/>
        <v>7.5323749814307783E-2</v>
      </c>
      <c r="BG176" s="106">
        <f t="shared" si="425"/>
        <v>0.32689573781449033</v>
      </c>
      <c r="BH176" s="106">
        <f t="shared" si="425"/>
        <v>0.34330069911067485</v>
      </c>
      <c r="BI176" s="106">
        <f t="shared" si="425"/>
        <v>0.17768071707176647</v>
      </c>
      <c r="BJ176" s="106">
        <f t="shared" si="425"/>
        <v>0.10334150048129609</v>
      </c>
      <c r="BK176" s="138">
        <v>7.0000000000000007E-2</v>
      </c>
      <c r="BL176" s="138">
        <v>0.03</v>
      </c>
      <c r="BM176" s="138">
        <v>0.03</v>
      </c>
      <c r="BN176" s="138">
        <v>0.05</v>
      </c>
      <c r="BO176" s="138">
        <v>0.03</v>
      </c>
      <c r="BP176" s="106"/>
      <c r="BQ176" s="106"/>
      <c r="BR176" s="164" t="str">
        <f>+IFERROR(BR175/BQ175-1,"n/a")</f>
        <v>n/a</v>
      </c>
      <c r="BS176" s="164" t="str">
        <f t="shared" ref="BS176:CI176" si="426">+IFERROR(BS175/BR175-1,"n/a")</f>
        <v>n/a</v>
      </c>
      <c r="BT176" s="164" t="str">
        <f t="shared" si="426"/>
        <v>n/a</v>
      </c>
      <c r="BU176" s="164">
        <f t="shared" si="426"/>
        <v>0.52997525318554084</v>
      </c>
      <c r="BV176" s="164">
        <f t="shared" si="426"/>
        <v>0.98470619428182382</v>
      </c>
      <c r="BW176" s="164">
        <f t="shared" si="426"/>
        <v>-0.28520746419514387</v>
      </c>
      <c r="BX176" s="164">
        <f t="shared" si="426"/>
        <v>0.1748928513353416</v>
      </c>
      <c r="BY176" s="164">
        <f t="shared" si="426"/>
        <v>0.1792362613092815</v>
      </c>
      <c r="BZ176" s="164">
        <f t="shared" si="426"/>
        <v>-4.850644853472541E-2</v>
      </c>
      <c r="CA176" s="164">
        <f t="shared" si="426"/>
        <v>-7.1761894642090152E-2</v>
      </c>
      <c r="CB176" s="164">
        <f t="shared" si="426"/>
        <v>-1.6380967490146059E-3</v>
      </c>
      <c r="CC176" s="164">
        <f t="shared" si="426"/>
        <v>-9.4755602892054869E-3</v>
      </c>
      <c r="CD176" s="164">
        <f t="shared" si="426"/>
        <v>2.6629597056784249E-3</v>
      </c>
      <c r="CE176" s="164">
        <f t="shared" si="426"/>
        <v>5.1340464019848486E-2</v>
      </c>
      <c r="CF176" s="164">
        <f t="shared" si="426"/>
        <v>6.9847865285210808E-3</v>
      </c>
      <c r="CG176" s="164">
        <f t="shared" si="426"/>
        <v>-1.2746582833979336E-2</v>
      </c>
      <c r="CH176" s="164">
        <f t="shared" si="426"/>
        <v>0.23704555513088343</v>
      </c>
      <c r="CI176" s="164">
        <f t="shared" si="426"/>
        <v>3.5107799076553148E-2</v>
      </c>
    </row>
    <row r="177" spans="2:87" x14ac:dyDescent="0.2">
      <c r="B177" s="60" t="s">
        <v>257</v>
      </c>
      <c r="E177" s="57"/>
      <c r="F177" s="57"/>
      <c r="G177" s="57"/>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f t="shared" ref="AC177:BJ177" si="427">+AC175/AB175-1</f>
        <v>2.8476886907734089E-2</v>
      </c>
      <c r="AD177" s="106">
        <f t="shared" si="427"/>
        <v>-1.4960365369901196E-2</v>
      </c>
      <c r="AE177" s="106">
        <f t="shared" si="427"/>
        <v>1.257630183992875E-2</v>
      </c>
      <c r="AF177" s="106">
        <f t="shared" si="427"/>
        <v>1.2184740669540783E-3</v>
      </c>
      <c r="AG177" s="106">
        <f t="shared" si="427"/>
        <v>-5.6461617143196308E-2</v>
      </c>
      <c r="AH177" s="106">
        <f t="shared" si="427"/>
        <v>-8.1968253193682727E-2</v>
      </c>
      <c r="AI177" s="106">
        <f t="shared" si="427"/>
        <v>-2.968087893744209E-2</v>
      </c>
      <c r="AJ177" s="106">
        <f t="shared" si="427"/>
        <v>4.5594603982879178E-2</v>
      </c>
      <c r="AK177" s="106">
        <f t="shared" si="427"/>
        <v>2.1072435271113354E-2</v>
      </c>
      <c r="AL177" s="106">
        <f t="shared" si="427"/>
        <v>-2.5891838067139572E-2</v>
      </c>
      <c r="AM177" s="106">
        <f t="shared" si="427"/>
        <v>5.1826642619608787E-2</v>
      </c>
      <c r="AN177" s="106">
        <f t="shared" si="427"/>
        <v>-0.1098176430315071</v>
      </c>
      <c r="AO177" s="106">
        <f t="shared" si="427"/>
        <v>0.10835056379344921</v>
      </c>
      <c r="AP177" s="106">
        <f t="shared" si="427"/>
        <v>-1.5232204763464874E-2</v>
      </c>
      <c r="AQ177" s="106">
        <f t="shared" si="427"/>
        <v>5.1682258334435405E-2</v>
      </c>
      <c r="AR177" s="106">
        <f t="shared" si="427"/>
        <v>-3.2779373847480309E-2</v>
      </c>
      <c r="AS177" s="106">
        <f t="shared" si="427"/>
        <v>-1.9074003238215509E-2</v>
      </c>
      <c r="AT177" s="106">
        <f t="shared" si="427"/>
        <v>-4.1402731300287932E-2</v>
      </c>
      <c r="AU177" s="106">
        <f t="shared" si="427"/>
        <v>3.4622023804726121E-2</v>
      </c>
      <c r="AV177" s="106">
        <f t="shared" si="427"/>
        <v>-7.4269011622230985E-2</v>
      </c>
      <c r="AW177" s="106">
        <f t="shared" si="427"/>
        <v>0.12537358119486441</v>
      </c>
      <c r="AX177" s="106">
        <f t="shared" si="427"/>
        <v>6.8275059142125061E-2</v>
      </c>
      <c r="AY177" s="106">
        <f t="shared" si="427"/>
        <v>7.9680929504134745E-2</v>
      </c>
      <c r="AZ177" s="106">
        <f t="shared" si="427"/>
        <v>-0.15056612013510384</v>
      </c>
      <c r="BA177" s="106">
        <f t="shared" si="427"/>
        <v>5.9549101813367589E-2</v>
      </c>
      <c r="BB177" s="106">
        <f t="shared" si="427"/>
        <v>-1.3479804747551616E-2</v>
      </c>
      <c r="BC177" s="106">
        <f t="shared" si="427"/>
        <v>-9.4499143523440798E-2</v>
      </c>
      <c r="BD177" s="106">
        <f t="shared" si="427"/>
        <v>1.6222506156572836E-2</v>
      </c>
      <c r="BE177" s="106">
        <f t="shared" si="427"/>
        <v>9.4304576668908124E-2</v>
      </c>
      <c r="BF177" s="106">
        <f t="shared" si="427"/>
        <v>6.7882200867156017E-2</v>
      </c>
      <c r="BG177" s="106">
        <f t="shared" si="427"/>
        <v>0.11734277909661972</v>
      </c>
      <c r="BH177" s="106">
        <f t="shared" si="427"/>
        <v>2.8786485681647767E-2</v>
      </c>
      <c r="BI177" s="106">
        <f t="shared" si="427"/>
        <v>-4.0615850643448748E-2</v>
      </c>
      <c r="BJ177" s="106">
        <f t="shared" si="427"/>
        <v>4.7384045792808749E-4</v>
      </c>
      <c r="BK177" s="106">
        <f>+BK175/BJ175-1</f>
        <v>8.3578178752327759E-2</v>
      </c>
      <c r="BL177" s="106">
        <f t="shared" ref="BL177:BO177" si="428">+BL175/BK175-1</f>
        <v>-9.6728221943017667E-3</v>
      </c>
      <c r="BM177" s="106">
        <f t="shared" si="428"/>
        <v>-4.0615850643448637E-2</v>
      </c>
      <c r="BN177" s="106">
        <f t="shared" si="428"/>
        <v>1.9900516971674387E-2</v>
      </c>
      <c r="BO177" s="106">
        <f t="shared" si="428"/>
        <v>6.2938594395140379E-2</v>
      </c>
      <c r="BP177" s="106"/>
      <c r="BQ177" s="106"/>
      <c r="BR177" s="106"/>
      <c r="BS177" s="106"/>
      <c r="BT177" s="106"/>
      <c r="BU177" s="106"/>
      <c r="BV177" s="106"/>
      <c r="BW177" s="106"/>
      <c r="BX177" s="106"/>
      <c r="BY177" s="106"/>
      <c r="BZ177" s="106"/>
      <c r="CA177" s="106"/>
      <c r="CB177" s="106"/>
      <c r="CC177" s="106"/>
      <c r="CD177" s="106"/>
      <c r="CE177" s="68"/>
      <c r="CF177" s="68"/>
      <c r="CG177" s="68"/>
      <c r="CH177" s="68"/>
      <c r="CI177" s="68"/>
    </row>
    <row r="178" spans="2:87" x14ac:dyDescent="0.2">
      <c r="B178" s="60"/>
      <c r="E178" s="57"/>
      <c r="F178" s="57"/>
      <c r="G178" s="57"/>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c r="AH178" s="106"/>
      <c r="AI178" s="106"/>
      <c r="AJ178" s="106"/>
      <c r="AK178" s="106"/>
      <c r="AL178" s="106"/>
      <c r="AM178" s="106"/>
      <c r="AN178" s="106"/>
      <c r="AO178" s="106"/>
      <c r="AP178" s="106"/>
      <c r="AQ178" s="106"/>
      <c r="AR178" s="106"/>
      <c r="AS178" s="106"/>
      <c r="AT178" s="106"/>
      <c r="AU178" s="106"/>
      <c r="AV178" s="106"/>
      <c r="AW178" s="106"/>
      <c r="AX178" s="106"/>
      <c r="AY178" s="106"/>
      <c r="AZ178" s="106"/>
      <c r="BA178" s="106"/>
      <c r="BB178" s="106"/>
      <c r="BC178" s="106"/>
      <c r="BD178" s="106"/>
      <c r="BE178" s="106"/>
      <c r="BF178" s="106"/>
      <c r="BG178" s="106"/>
      <c r="BH178" s="106"/>
      <c r="BI178" s="106"/>
      <c r="BJ178" s="106"/>
      <c r="BK178" s="118"/>
      <c r="BL178" s="118"/>
      <c r="BM178" s="118"/>
      <c r="BN178" s="118"/>
      <c r="BO178" s="118"/>
      <c r="BP178" s="106"/>
      <c r="BQ178" s="106"/>
      <c r="BR178" s="106"/>
      <c r="BS178" s="106"/>
      <c r="BT178" s="106"/>
      <c r="BU178" s="106"/>
      <c r="BV178" s="106"/>
      <c r="BW178" s="106"/>
      <c r="BX178" s="106"/>
      <c r="BY178" s="106"/>
      <c r="BZ178" s="106"/>
      <c r="CA178" s="106"/>
      <c r="CB178" s="106"/>
      <c r="CC178" s="106"/>
      <c r="CD178" s="106"/>
      <c r="CE178" s="68"/>
      <c r="CF178" s="68"/>
      <c r="CG178" s="68"/>
      <c r="CH178" s="68"/>
      <c r="CI178" s="68"/>
    </row>
    <row r="179" spans="2:87" s="44" customFormat="1" x14ac:dyDescent="0.2">
      <c r="B179" s="44" t="s">
        <v>110</v>
      </c>
      <c r="E179" s="133"/>
      <c r="F179" s="133"/>
      <c r="G179" s="133"/>
      <c r="H179" s="158"/>
      <c r="I179" s="158"/>
      <c r="J179" s="158"/>
      <c r="K179" s="158"/>
      <c r="L179" s="158"/>
      <c r="M179" s="158"/>
      <c r="N179" s="158"/>
      <c r="O179" s="158"/>
      <c r="P179" s="158"/>
      <c r="Q179" s="158"/>
      <c r="R179" s="158"/>
      <c r="S179" s="158"/>
      <c r="T179" s="158"/>
      <c r="U179" s="158"/>
      <c r="V179" s="158"/>
      <c r="W179" s="158"/>
      <c r="X179" s="158"/>
      <c r="Y179" s="158"/>
      <c r="Z179" s="158"/>
      <c r="AA179" s="118">
        <f t="shared" ref="AA179:BH179" si="429">+AA32</f>
        <v>2457</v>
      </c>
      <c r="AB179" s="118">
        <f t="shared" si="429"/>
        <v>2534</v>
      </c>
      <c r="AC179" s="118">
        <f t="shared" si="429"/>
        <v>2785</v>
      </c>
      <c r="AD179" s="118">
        <f t="shared" si="429"/>
        <v>2907</v>
      </c>
      <c r="AE179" s="118">
        <f t="shared" si="429"/>
        <v>3196</v>
      </c>
      <c r="AF179" s="118">
        <f t="shared" si="429"/>
        <v>3546</v>
      </c>
      <c r="AG179" s="118">
        <f t="shared" si="429"/>
        <v>3683</v>
      </c>
      <c r="AH179" s="118">
        <f t="shared" si="429"/>
        <v>3758</v>
      </c>
      <c r="AI179" s="118">
        <f t="shared" si="429"/>
        <v>4009</v>
      </c>
      <c r="AJ179" s="118">
        <f t="shared" si="429"/>
        <v>4590</v>
      </c>
      <c r="AK179" s="118">
        <f t="shared" si="429"/>
        <v>5154</v>
      </c>
      <c r="AL179" s="118">
        <f t="shared" si="429"/>
        <v>5528</v>
      </c>
      <c r="AM179" s="118">
        <f t="shared" si="429"/>
        <v>6298</v>
      </c>
      <c r="AN179" s="118">
        <f t="shared" si="429"/>
        <v>5944</v>
      </c>
      <c r="AO179" s="118">
        <f t="shared" si="429"/>
        <v>6953</v>
      </c>
      <c r="AP179" s="118">
        <f t="shared" si="429"/>
        <v>7312</v>
      </c>
      <c r="AQ179" s="118">
        <f t="shared" si="429"/>
        <v>8182</v>
      </c>
      <c r="AR179" s="118">
        <f t="shared" si="429"/>
        <v>8385</v>
      </c>
      <c r="AS179" s="118">
        <f t="shared" si="429"/>
        <v>8895</v>
      </c>
      <c r="AT179" s="118">
        <f t="shared" si="429"/>
        <v>9236</v>
      </c>
      <c r="AU179" s="118">
        <f t="shared" si="429"/>
        <v>10087</v>
      </c>
      <c r="AV179" s="118">
        <f t="shared" si="429"/>
        <v>9662</v>
      </c>
      <c r="AW179" s="118">
        <f t="shared" si="429"/>
        <v>11311</v>
      </c>
      <c r="AX179" s="118">
        <f t="shared" si="429"/>
        <v>12816</v>
      </c>
      <c r="AY179" s="118">
        <f t="shared" si="429"/>
        <v>14738</v>
      </c>
      <c r="AZ179" s="118">
        <f t="shared" si="429"/>
        <v>13379</v>
      </c>
      <c r="BA179" s="118">
        <f t="shared" si="429"/>
        <v>15272</v>
      </c>
      <c r="BB179" s="118">
        <f t="shared" si="429"/>
        <v>15954</v>
      </c>
      <c r="BC179" s="118">
        <f t="shared" si="429"/>
        <v>14694</v>
      </c>
      <c r="BD179" s="118">
        <f t="shared" si="429"/>
        <v>14056</v>
      </c>
      <c r="BE179" s="118">
        <f t="shared" si="429"/>
        <v>13970</v>
      </c>
      <c r="BF179" s="118">
        <f t="shared" si="429"/>
        <v>13821</v>
      </c>
      <c r="BG179" s="118">
        <f t="shared" si="429"/>
        <v>14977</v>
      </c>
      <c r="BH179" s="118">
        <f t="shared" si="429"/>
        <v>15771</v>
      </c>
      <c r="BI179" s="118">
        <f>+BI32</f>
        <v>15516</v>
      </c>
      <c r="BJ179" s="118">
        <f>+BJ32</f>
        <v>15864</v>
      </c>
      <c r="BK179" s="118">
        <f>+BK175*AVERAGE(BJ168:BK168)</f>
        <v>17622.623294931909</v>
      </c>
      <c r="BL179" s="118">
        <f t="shared" ref="BL179:BO179" si="430">+BL175*AVERAGE(BK168:BL168)</f>
        <v>17927.672650791093</v>
      </c>
      <c r="BM179" s="118">
        <f t="shared" si="430"/>
        <v>17655.721596254854</v>
      </c>
      <c r="BN179" s="118">
        <f t="shared" si="430"/>
        <v>18472.354752344574</v>
      </c>
      <c r="BO179" s="118">
        <f t="shared" si="430"/>
        <v>20129.537729574091</v>
      </c>
      <c r="BP179" s="158"/>
      <c r="BQ179" s="118">
        <f t="shared" ref="BQ179:CH179" si="431">+BQ32</f>
        <v>236</v>
      </c>
      <c r="BR179" s="118">
        <f t="shared" si="431"/>
        <v>203</v>
      </c>
      <c r="BS179" s="118">
        <f t="shared" si="431"/>
        <v>292</v>
      </c>
      <c r="BT179" s="118">
        <f t="shared" si="431"/>
        <v>449</v>
      </c>
      <c r="BU179" s="118">
        <f t="shared" si="431"/>
        <v>1094</v>
      </c>
      <c r="BV179" s="118">
        <f t="shared" si="431"/>
        <v>3187</v>
      </c>
      <c r="BW179" s="118">
        <f t="shared" si="431"/>
        <v>3192</v>
      </c>
      <c r="BX179" s="118">
        <f t="shared" si="431"/>
        <v>5318</v>
      </c>
      <c r="BY179" s="118">
        <f t="shared" si="431"/>
        <v>8836</v>
      </c>
      <c r="BZ179" s="118">
        <f t="shared" si="431"/>
        <v>11422</v>
      </c>
      <c r="CA179" s="118">
        <f t="shared" si="431"/>
        <v>14996</v>
      </c>
      <c r="CB179" s="118">
        <f t="shared" si="431"/>
        <v>21570</v>
      </c>
      <c r="CC179" s="118">
        <f t="shared" si="431"/>
        <v>28391</v>
      </c>
      <c r="CD179" s="118">
        <f t="shared" si="431"/>
        <v>36603</v>
      </c>
      <c r="CE179" s="118">
        <f t="shared" si="431"/>
        <v>48527</v>
      </c>
      <c r="CF179" s="118">
        <f t="shared" si="431"/>
        <v>59299</v>
      </c>
      <c r="CG179" s="118">
        <f t="shared" si="431"/>
        <v>56824</v>
      </c>
      <c r="CH179" s="118">
        <f t="shared" si="431"/>
        <v>64773.623294931909</v>
      </c>
      <c r="CI179" s="118">
        <f t="shared" ref="CI179" si="432">+CI32</f>
        <v>74185.286728964609</v>
      </c>
    </row>
    <row r="180" spans="2:87" x14ac:dyDescent="0.2">
      <c r="B180" s="60" t="s">
        <v>17</v>
      </c>
      <c r="E180" s="57"/>
      <c r="F180" s="57"/>
      <c r="G180" s="57"/>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f t="shared" ref="AE180:BJ180" si="433">+AE179/AA179-1</f>
        <v>0.30077330077330067</v>
      </c>
      <c r="AF180" s="106">
        <f t="shared" si="433"/>
        <v>0.39936858721389101</v>
      </c>
      <c r="AG180" s="106">
        <f t="shared" si="433"/>
        <v>0.32244165170556549</v>
      </c>
      <c r="AH180" s="106">
        <f t="shared" si="433"/>
        <v>0.29274165806673547</v>
      </c>
      <c r="AI180" s="106">
        <f t="shared" si="433"/>
        <v>0.25438047559449317</v>
      </c>
      <c r="AJ180" s="106">
        <f t="shared" si="433"/>
        <v>0.29441624365482233</v>
      </c>
      <c r="AK180" s="106">
        <f t="shared" si="433"/>
        <v>0.39940266087428733</v>
      </c>
      <c r="AL180" s="106">
        <f t="shared" si="433"/>
        <v>0.47099521021820112</v>
      </c>
      <c r="AM180" s="106">
        <f t="shared" si="433"/>
        <v>0.57096532801197308</v>
      </c>
      <c r="AN180" s="106">
        <f t="shared" si="433"/>
        <v>0.29498910675381262</v>
      </c>
      <c r="AO180" s="106">
        <f t="shared" si="433"/>
        <v>0.34904928211098185</v>
      </c>
      <c r="AP180" s="106">
        <f t="shared" si="433"/>
        <v>0.32272069464544129</v>
      </c>
      <c r="AQ180" s="106">
        <f t="shared" si="433"/>
        <v>0.29914258494760237</v>
      </c>
      <c r="AR180" s="106">
        <f t="shared" si="433"/>
        <v>0.41066621803499337</v>
      </c>
      <c r="AS180" s="106">
        <f t="shared" si="433"/>
        <v>0.27930389759815899</v>
      </c>
      <c r="AT180" s="106">
        <f t="shared" si="433"/>
        <v>0.26312910284463897</v>
      </c>
      <c r="AU180" s="106">
        <f t="shared" si="433"/>
        <v>0.23282815937423607</v>
      </c>
      <c r="AV180" s="106">
        <f t="shared" si="433"/>
        <v>0.15229576624925456</v>
      </c>
      <c r="AW180" s="106">
        <f t="shared" si="433"/>
        <v>0.27161326587970769</v>
      </c>
      <c r="AX180" s="106">
        <f t="shared" si="433"/>
        <v>0.38761368557817244</v>
      </c>
      <c r="AY180" s="106">
        <f t="shared" si="433"/>
        <v>0.46108852979081982</v>
      </c>
      <c r="AZ180" s="106">
        <f t="shared" si="433"/>
        <v>0.38470296004967919</v>
      </c>
      <c r="BA180" s="106">
        <f t="shared" si="433"/>
        <v>0.35019008045265676</v>
      </c>
      <c r="BB180" s="106">
        <f t="shared" si="433"/>
        <v>0.24485018726591767</v>
      </c>
      <c r="BC180" s="106">
        <f t="shared" si="433"/>
        <v>-2.9854797123083365E-3</v>
      </c>
      <c r="BD180" s="106">
        <f t="shared" si="433"/>
        <v>5.0601689214440526E-2</v>
      </c>
      <c r="BE180" s="106">
        <f t="shared" si="433"/>
        <v>-8.5254059717129405E-2</v>
      </c>
      <c r="BF180" s="106">
        <f t="shared" si="433"/>
        <v>-0.13369687852576162</v>
      </c>
      <c r="BG180" s="106">
        <f t="shared" si="433"/>
        <v>1.9259561725874397E-2</v>
      </c>
      <c r="BH180" s="106">
        <f t="shared" si="433"/>
        <v>0.12201195219123506</v>
      </c>
      <c r="BI180" s="106">
        <f t="shared" si="433"/>
        <v>0.11066571224051547</v>
      </c>
      <c r="BJ180" s="106">
        <f t="shared" si="433"/>
        <v>0.14781853700889958</v>
      </c>
      <c r="BK180" s="106">
        <f>+BK179/BG179-1</f>
        <v>0.1766457431349342</v>
      </c>
      <c r="BL180" s="106">
        <f t="shared" ref="BL180:BO180" si="434">+BL179/BH179-1</f>
        <v>0.13674926452292779</v>
      </c>
      <c r="BM180" s="106">
        <f t="shared" si="434"/>
        <v>0.1379042018725738</v>
      </c>
      <c r="BN180" s="106">
        <f t="shared" si="434"/>
        <v>0.16441973980992031</v>
      </c>
      <c r="BO180" s="106">
        <f t="shared" si="434"/>
        <v>0.14225546291755253</v>
      </c>
      <c r="BP180" s="106"/>
      <c r="BQ180" s="106"/>
      <c r="BR180" s="106">
        <f t="shared" ref="BR180:BZ180" si="435">+BR179/BQ179-1</f>
        <v>-0.13983050847457623</v>
      </c>
      <c r="BS180" s="106">
        <f t="shared" si="435"/>
        <v>0.43842364532019706</v>
      </c>
      <c r="BT180" s="106">
        <f t="shared" si="435"/>
        <v>0.53767123287671237</v>
      </c>
      <c r="BU180" s="106">
        <f t="shared" si="435"/>
        <v>1.4365256124721602</v>
      </c>
      <c r="BV180" s="106">
        <f t="shared" si="435"/>
        <v>1.913162705667276</v>
      </c>
      <c r="BW180" s="106">
        <f t="shared" si="435"/>
        <v>1.5688735487919825E-3</v>
      </c>
      <c r="BX180" s="106">
        <f t="shared" si="435"/>
        <v>0.66604010025062665</v>
      </c>
      <c r="BY180" s="106">
        <f t="shared" si="435"/>
        <v>0.66152688980819851</v>
      </c>
      <c r="BZ180" s="106">
        <f t="shared" si="435"/>
        <v>0.29266636487098241</v>
      </c>
      <c r="CA180" s="106">
        <f t="shared" ref="CA180:CI180" si="436">+CA179/BZ179-1</f>
        <v>0.31290492032918937</v>
      </c>
      <c r="CB180" s="106">
        <f t="shared" si="436"/>
        <v>0.43838356895172037</v>
      </c>
      <c r="CC180" s="106">
        <f t="shared" si="436"/>
        <v>0.31622624014835421</v>
      </c>
      <c r="CD180" s="106">
        <f t="shared" si="436"/>
        <v>0.2892465922299321</v>
      </c>
      <c r="CE180" s="106">
        <f t="shared" si="436"/>
        <v>0.32576564762451166</v>
      </c>
      <c r="CF180" s="106">
        <f t="shared" si="436"/>
        <v>0.22197951655779247</v>
      </c>
      <c r="CG180" s="106">
        <f t="shared" si="436"/>
        <v>-4.1737634698730153E-2</v>
      </c>
      <c r="CH180" s="106">
        <f t="shared" si="436"/>
        <v>0.13989904432866229</v>
      </c>
      <c r="CI180" s="106">
        <f t="shared" si="436"/>
        <v>0.14530086407516274</v>
      </c>
    </row>
    <row r="181" spans="2:87" x14ac:dyDescent="0.2">
      <c r="B181" s="60" t="s">
        <v>257</v>
      </c>
      <c r="E181" s="57"/>
      <c r="F181" s="57"/>
      <c r="G181" s="57"/>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f t="shared" ref="AC181:BJ181" si="437">+AC179/AB179-1</f>
        <v>9.9052880820836631E-2</v>
      </c>
      <c r="AD181" s="106">
        <f t="shared" si="437"/>
        <v>4.380610412926389E-2</v>
      </c>
      <c r="AE181" s="106">
        <f t="shared" si="437"/>
        <v>9.9415204678362512E-2</v>
      </c>
      <c r="AF181" s="106">
        <f t="shared" si="437"/>
        <v>0.10951188986232796</v>
      </c>
      <c r="AG181" s="106">
        <f t="shared" si="437"/>
        <v>3.8635081782289804E-2</v>
      </c>
      <c r="AH181" s="106">
        <f t="shared" si="437"/>
        <v>2.0363833831115841E-2</v>
      </c>
      <c r="AI181" s="106">
        <f t="shared" si="437"/>
        <v>6.679084619478437E-2</v>
      </c>
      <c r="AJ181" s="106">
        <f t="shared" si="437"/>
        <v>0.14492392117735098</v>
      </c>
      <c r="AK181" s="106">
        <f t="shared" si="437"/>
        <v>0.12287581699346406</v>
      </c>
      <c r="AL181" s="106">
        <f t="shared" si="437"/>
        <v>7.2564998059759356E-2</v>
      </c>
      <c r="AM181" s="106">
        <f t="shared" si="437"/>
        <v>0.1392908827785817</v>
      </c>
      <c r="AN181" s="106">
        <f t="shared" si="437"/>
        <v>-5.620832010161958E-2</v>
      </c>
      <c r="AO181" s="106">
        <f t="shared" si="437"/>
        <v>0.16975100942126509</v>
      </c>
      <c r="AP181" s="106">
        <f t="shared" si="437"/>
        <v>5.1632388896879045E-2</v>
      </c>
      <c r="AQ181" s="106">
        <f t="shared" si="437"/>
        <v>0.11898249452954057</v>
      </c>
      <c r="AR181" s="106">
        <f t="shared" si="437"/>
        <v>2.4810559765338525E-2</v>
      </c>
      <c r="AS181" s="106">
        <f t="shared" si="437"/>
        <v>6.0822898032200312E-2</v>
      </c>
      <c r="AT181" s="106">
        <f t="shared" si="437"/>
        <v>3.8336143901068098E-2</v>
      </c>
      <c r="AU181" s="106">
        <f t="shared" si="437"/>
        <v>9.2139454309224877E-2</v>
      </c>
      <c r="AV181" s="106">
        <f t="shared" si="437"/>
        <v>-4.2133439080003998E-2</v>
      </c>
      <c r="AW181" s="106">
        <f t="shared" si="437"/>
        <v>0.17066859863382322</v>
      </c>
      <c r="AX181" s="106">
        <f t="shared" si="437"/>
        <v>0.1330563168596941</v>
      </c>
      <c r="AY181" s="106">
        <f t="shared" si="437"/>
        <v>0.14996878901373289</v>
      </c>
      <c r="AZ181" s="106">
        <f t="shared" si="437"/>
        <v>-9.2210612023341021E-2</v>
      </c>
      <c r="BA181" s="106">
        <f t="shared" si="437"/>
        <v>0.14149039539576957</v>
      </c>
      <c r="BB181" s="106">
        <f t="shared" si="437"/>
        <v>4.4656888423258323E-2</v>
      </c>
      <c r="BC181" s="106">
        <f t="shared" si="437"/>
        <v>-7.8977059044753717E-2</v>
      </c>
      <c r="BD181" s="106">
        <f t="shared" si="437"/>
        <v>-4.3419082618755933E-2</v>
      </c>
      <c r="BE181" s="106">
        <f t="shared" si="437"/>
        <v>-6.1183836084234278E-3</v>
      </c>
      <c r="BF181" s="106">
        <f t="shared" si="437"/>
        <v>-1.0665712240515379E-2</v>
      </c>
      <c r="BG181" s="106">
        <f t="shared" si="437"/>
        <v>8.3640836408364061E-2</v>
      </c>
      <c r="BH181" s="106">
        <f t="shared" si="437"/>
        <v>5.301462242104571E-2</v>
      </c>
      <c r="BI181" s="106">
        <f t="shared" si="437"/>
        <v>-1.6168917633631374E-2</v>
      </c>
      <c r="BJ181" s="106">
        <f t="shared" si="437"/>
        <v>2.2428460943542117E-2</v>
      </c>
      <c r="BK181" s="106">
        <f>+BK179/BJ179-1</f>
        <v>0.11085623392157773</v>
      </c>
      <c r="BL181" s="106">
        <f t="shared" ref="BL181:BO181" si="438">+BL179/BK179-1</f>
        <v>1.731009911259429E-2</v>
      </c>
      <c r="BM181" s="106">
        <f t="shared" si="438"/>
        <v>-1.5169345170090387E-2</v>
      </c>
      <c r="BN181" s="106">
        <f t="shared" si="438"/>
        <v>4.6253173603674425E-2</v>
      </c>
      <c r="BO181" s="106">
        <f t="shared" si="438"/>
        <v>8.9711517532391483E-2</v>
      </c>
      <c r="BP181" s="106"/>
      <c r="BQ181" s="106"/>
      <c r="BR181" s="106"/>
      <c r="BS181" s="106"/>
      <c r="BT181" s="106"/>
      <c r="BU181" s="106"/>
      <c r="BV181" s="106"/>
      <c r="BW181" s="106"/>
      <c r="BX181" s="106"/>
      <c r="BY181" s="106"/>
      <c r="BZ181" s="106"/>
      <c r="CA181" s="106"/>
      <c r="CB181" s="106"/>
      <c r="CC181" s="106"/>
      <c r="CD181" s="106"/>
      <c r="CE181" s="68"/>
      <c r="CF181" s="68"/>
      <c r="CG181" s="68"/>
      <c r="CH181" s="68"/>
      <c r="CI181" s="68"/>
    </row>
    <row r="182" spans="2:87" x14ac:dyDescent="0.2">
      <c r="B182" s="60"/>
      <c r="E182" s="57"/>
      <c r="F182" s="57"/>
      <c r="G182" s="57"/>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c r="AH182" s="106"/>
      <c r="AI182" s="106"/>
      <c r="AJ182" s="106"/>
      <c r="AK182" s="106"/>
      <c r="AL182" s="106"/>
      <c r="AM182" s="106"/>
      <c r="AN182" s="106"/>
      <c r="AO182" s="106"/>
      <c r="AP182" s="106"/>
      <c r="AQ182" s="106"/>
      <c r="AR182" s="106"/>
      <c r="AS182" s="106"/>
      <c r="AT182" s="106"/>
      <c r="AU182" s="106"/>
      <c r="AV182" s="106"/>
      <c r="AW182" s="106"/>
      <c r="AX182" s="138"/>
      <c r="AY182" s="138"/>
      <c r="AZ182" s="106"/>
      <c r="BA182" s="106"/>
      <c r="BB182" s="106"/>
      <c r="BC182" s="106"/>
      <c r="BD182" s="106"/>
      <c r="BE182" s="106"/>
      <c r="BF182" s="106"/>
      <c r="BG182" s="106"/>
      <c r="BH182" s="106"/>
      <c r="BI182" s="106"/>
      <c r="BJ182" s="106"/>
      <c r="BK182" s="106"/>
      <c r="BL182" s="106"/>
      <c r="BM182" s="106"/>
      <c r="BN182" s="106"/>
      <c r="BO182" s="106"/>
      <c r="BP182" s="106"/>
      <c r="BQ182" s="106"/>
      <c r="BR182" s="106"/>
      <c r="BS182" s="106"/>
      <c r="BT182" s="106"/>
      <c r="BU182" s="106"/>
      <c r="BV182" s="106"/>
      <c r="BW182" s="106"/>
      <c r="BX182" s="106"/>
      <c r="BY182" s="106"/>
      <c r="BZ182" s="106"/>
      <c r="CA182" s="106"/>
      <c r="CB182" s="106"/>
      <c r="CC182" s="106"/>
      <c r="CD182" s="106"/>
      <c r="CE182" s="68"/>
      <c r="CF182" s="68"/>
      <c r="CG182" s="68"/>
      <c r="CH182" s="68"/>
      <c r="CI182" s="68"/>
    </row>
    <row r="183" spans="2:87" x14ac:dyDescent="0.2">
      <c r="B183" s="54" t="s">
        <v>247</v>
      </c>
      <c r="E183" s="57"/>
      <c r="F183" s="57"/>
      <c r="G183" s="57"/>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c r="AH183" s="106"/>
      <c r="AI183" s="106"/>
      <c r="AJ183" s="106"/>
      <c r="AK183" s="106"/>
      <c r="AL183" s="106"/>
      <c r="AM183" s="106"/>
      <c r="AN183" s="106"/>
      <c r="AO183" s="106"/>
      <c r="AP183" s="106"/>
      <c r="AQ183" s="106"/>
      <c r="AR183" s="106"/>
      <c r="AS183" s="106"/>
      <c r="AT183" s="106"/>
      <c r="AU183" s="106"/>
      <c r="AV183" s="106"/>
      <c r="AW183" s="106"/>
      <c r="AX183" s="138"/>
      <c r="AY183" s="138"/>
      <c r="AZ183" s="106"/>
      <c r="BA183" s="106"/>
      <c r="BB183" s="106"/>
      <c r="BC183" s="106"/>
      <c r="BD183" s="106"/>
      <c r="BE183" s="106"/>
      <c r="BF183" s="106"/>
      <c r="BG183" s="106"/>
      <c r="BH183" s="106"/>
      <c r="BI183" s="106"/>
      <c r="BJ183" s="106"/>
      <c r="BK183" s="106"/>
      <c r="BL183" s="106"/>
      <c r="BM183" s="106"/>
      <c r="BN183" s="106"/>
      <c r="BO183" s="106"/>
      <c r="BP183" s="106"/>
      <c r="BQ183" s="106"/>
      <c r="BR183" s="106"/>
      <c r="BS183" s="106"/>
      <c r="BT183" s="106"/>
      <c r="BU183" s="106"/>
      <c r="BV183" s="106"/>
      <c r="BW183" s="106"/>
      <c r="BX183" s="106"/>
      <c r="BY183" s="106"/>
      <c r="BZ183" s="106"/>
      <c r="CA183" s="106"/>
      <c r="CB183" s="106"/>
      <c r="CC183" s="106"/>
      <c r="CD183" s="106"/>
      <c r="CE183" s="68"/>
      <c r="CF183" s="68"/>
      <c r="CG183" s="68"/>
      <c r="CH183" s="68"/>
      <c r="CI183" s="68"/>
    </row>
    <row r="184" spans="2:87" x14ac:dyDescent="0.2">
      <c r="B184" t="s">
        <v>298</v>
      </c>
      <c r="E184" s="57"/>
      <c r="F184" s="57"/>
      <c r="G184" s="57"/>
      <c r="H184" s="106"/>
      <c r="I184" s="106"/>
      <c r="J184" s="106"/>
      <c r="K184" s="106"/>
      <c r="L184" s="106"/>
      <c r="M184" s="106"/>
      <c r="N184" s="106"/>
      <c r="O184" s="106"/>
      <c r="P184" s="106"/>
      <c r="Q184" s="106"/>
      <c r="R184" s="106"/>
      <c r="S184" s="106"/>
      <c r="T184" s="106"/>
      <c r="U184" s="106"/>
      <c r="V184" s="106"/>
      <c r="W184" s="106"/>
      <c r="X184" s="106"/>
      <c r="Y184" s="106"/>
      <c r="Z184" s="106"/>
      <c r="AA184" s="106"/>
      <c r="AB184" s="228">
        <f t="shared" ref="AB184:BK184" si="439">+AB126/AVERAGE(AA168:AB168)</f>
        <v>0.40944881889763779</v>
      </c>
      <c r="AC184" s="228">
        <f t="shared" si="439"/>
        <v>0.45819243227850354</v>
      </c>
      <c r="AD184" s="228">
        <f t="shared" si="439"/>
        <v>0.47102690718532703</v>
      </c>
      <c r="AE184" s="228">
        <f t="shared" si="439"/>
        <v>0.5450776560856383</v>
      </c>
      <c r="AF184" s="228">
        <f t="shared" si="439"/>
        <v>0.44848958624155455</v>
      </c>
      <c r="AG184" s="228">
        <f t="shared" si="439"/>
        <v>0.4728112001623212</v>
      </c>
      <c r="AH184" s="228">
        <f t="shared" si="439"/>
        <v>0.47135066061200737</v>
      </c>
      <c r="AI184" s="228">
        <f t="shared" si="439"/>
        <v>0.53848069738480697</v>
      </c>
      <c r="AJ184" s="228">
        <f t="shared" si="439"/>
        <v>0.45362700684269386</v>
      </c>
      <c r="AK184" s="228">
        <f t="shared" si="439"/>
        <v>0.4561076925728666</v>
      </c>
      <c r="AL184" s="228">
        <f t="shared" si="439"/>
        <v>0.42976784959534131</v>
      </c>
      <c r="AM184" s="228">
        <f t="shared" si="439"/>
        <v>0.48889338516901998</v>
      </c>
      <c r="AN184" s="228">
        <f t="shared" si="439"/>
        <v>0.41104143947655397</v>
      </c>
      <c r="AO184" s="228">
        <f t="shared" si="439"/>
        <v>0.43619549493697046</v>
      </c>
      <c r="AP184" s="228">
        <f t="shared" si="439"/>
        <v>0.42699048148909663</v>
      </c>
      <c r="AQ184" s="228">
        <f t="shared" si="439"/>
        <v>0.4792888646387487</v>
      </c>
      <c r="AR184" s="228">
        <f t="shared" si="439"/>
        <v>0.38058148267353287</v>
      </c>
      <c r="AS184" s="228">
        <f t="shared" si="439"/>
        <v>0.37076645304656652</v>
      </c>
      <c r="AT184" s="228">
        <f t="shared" si="439"/>
        <v>0.39327026111167079</v>
      </c>
      <c r="AU184" s="228">
        <f t="shared" si="439"/>
        <v>0.48712008815082813</v>
      </c>
      <c r="AV184" s="228">
        <f t="shared" si="439"/>
        <v>0.43889718090191016</v>
      </c>
      <c r="AW184" s="228">
        <f t="shared" si="439"/>
        <v>0.4687646101017266</v>
      </c>
      <c r="AX184" s="228">
        <f t="shared" si="439"/>
        <v>0.44094512125610841</v>
      </c>
      <c r="AY184" s="228">
        <f t="shared" si="439"/>
        <v>0.48050975047628564</v>
      </c>
      <c r="AZ184" s="228">
        <f t="shared" si="439"/>
        <v>0.3726656651644133</v>
      </c>
      <c r="BA184" s="228">
        <f t="shared" si="439"/>
        <v>0.35724290087879124</v>
      </c>
      <c r="BB184" s="228">
        <f t="shared" si="439"/>
        <v>0.32439265627651914</v>
      </c>
      <c r="BC184" s="228">
        <f t="shared" si="439"/>
        <v>0.37014660866763333</v>
      </c>
      <c r="BD184" s="228">
        <f t="shared" si="439"/>
        <v>0.35019193623315975</v>
      </c>
      <c r="BE184" s="228">
        <f t="shared" si="439"/>
        <v>0.43072222259612475</v>
      </c>
      <c r="BF184" s="228">
        <f t="shared" si="439"/>
        <v>0.4961134438519767</v>
      </c>
      <c r="BG184" s="228">
        <f t="shared" si="439"/>
        <v>0.60090485535797211</v>
      </c>
      <c r="BH184" s="228">
        <f t="shared" si="439"/>
        <v>0.53356849084495706</v>
      </c>
      <c r="BI184" s="228">
        <f t="shared" si="439"/>
        <v>0.5576472939027175</v>
      </c>
      <c r="BJ184" s="228">
        <f t="shared" si="439"/>
        <v>0.56687359901678036</v>
      </c>
      <c r="BK184" s="228">
        <f t="shared" si="439"/>
        <v>0.63820071793085564</v>
      </c>
      <c r="BL184" s="228">
        <f t="shared" ref="BL184" si="440">+BL126/AVERAGE(BK168:BL168)</f>
        <v>0.54759950551845116</v>
      </c>
      <c r="BM184" s="228">
        <f t="shared" ref="BM184" si="441">+BM126/AVERAGE(BL168:BM168)</f>
        <v>0.57105356242708205</v>
      </c>
      <c r="BN184" s="228">
        <f t="shared" ref="BN184" si="442">+BN126/AVERAGE(BM168:BN168)</f>
        <v>0.57475204384581435</v>
      </c>
      <c r="BO184" s="228">
        <f t="shared" ref="BO184" si="443">+BO126/AVERAGE(BN168:BO168)</f>
        <v>0.65020331717023039</v>
      </c>
      <c r="BP184" s="106"/>
      <c r="BQ184" s="83" t="s">
        <v>127</v>
      </c>
      <c r="BR184" s="83" t="s">
        <v>127</v>
      </c>
      <c r="BS184" s="83" t="s">
        <v>127</v>
      </c>
      <c r="BT184" s="228">
        <f t="shared" ref="BT184:CI184" si="444">+BT126/AVERAGE(BS168:BT168)</f>
        <v>1.1802690582959641</v>
      </c>
      <c r="BU184" s="228">
        <f t="shared" si="444"/>
        <v>1.3932795194293224</v>
      </c>
      <c r="BV184" s="228">
        <f t="shared" si="444"/>
        <v>1.3017009847806624</v>
      </c>
      <c r="BW184" s="228">
        <f t="shared" si="444"/>
        <v>1.4370208105147864</v>
      </c>
      <c r="BX184" s="228">
        <f t="shared" si="444"/>
        <v>1.604788877445932</v>
      </c>
      <c r="BY184" s="228">
        <f t="shared" si="444"/>
        <v>1.6379168570123344</v>
      </c>
      <c r="BZ184" s="228">
        <f t="shared" si="444"/>
        <v>1.8587040586435322</v>
      </c>
      <c r="CA184" s="228">
        <f t="shared" si="444"/>
        <v>1.9329577062976964</v>
      </c>
      <c r="CB184" s="228">
        <f t="shared" si="444"/>
        <v>1.8427774660902281</v>
      </c>
      <c r="CC184" s="228">
        <f t="shared" si="444"/>
        <v>1.7558146754585304</v>
      </c>
      <c r="CD184" s="228">
        <f t="shared" si="444"/>
        <v>1.6604407702856701</v>
      </c>
      <c r="CE184" s="228">
        <f t="shared" si="444"/>
        <v>1.8063167246159266</v>
      </c>
      <c r="CF184" s="228">
        <f t="shared" si="444"/>
        <v>1.4718526746270164</v>
      </c>
      <c r="CG184" s="228">
        <f t="shared" si="444"/>
        <v>1.7542506778327558</v>
      </c>
      <c r="CH184" s="228">
        <f t="shared" si="444"/>
        <v>2.2997507144177156</v>
      </c>
      <c r="CI184" s="228">
        <f t="shared" si="444"/>
        <v>2.34758156702053</v>
      </c>
    </row>
    <row r="185" spans="2:87" x14ac:dyDescent="0.2">
      <c r="B185" s="60" t="s">
        <v>17</v>
      </c>
      <c r="E185" s="57"/>
      <c r="F185" s="57"/>
      <c r="G185" s="57"/>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f t="shared" ref="AF185:BJ185" si="445">+AF184/AB184-1</f>
        <v>9.5349566397642915E-2</v>
      </c>
      <c r="AG185" s="106">
        <f t="shared" si="445"/>
        <v>3.190530190802443E-2</v>
      </c>
      <c r="AH185" s="106">
        <f t="shared" si="445"/>
        <v>6.8733531299725037E-4</v>
      </c>
      <c r="AI185" s="106">
        <f t="shared" si="445"/>
        <v>-1.210278687298616E-2</v>
      </c>
      <c r="AJ185" s="106">
        <f t="shared" si="445"/>
        <v>1.1454938439467544E-2</v>
      </c>
      <c r="AK185" s="106">
        <f t="shared" si="445"/>
        <v>-3.5328070874209638E-2</v>
      </c>
      <c r="AL185" s="106">
        <f t="shared" si="445"/>
        <v>-8.8220542563098192E-2</v>
      </c>
      <c r="AM185" s="106">
        <f t="shared" si="445"/>
        <v>-9.2087446136163154E-2</v>
      </c>
      <c r="AN185" s="106">
        <f t="shared" si="445"/>
        <v>-9.3877936550870844E-2</v>
      </c>
      <c r="AO185" s="106">
        <f t="shared" si="445"/>
        <v>-4.3656789745362579E-2</v>
      </c>
      <c r="AP185" s="106">
        <f t="shared" si="445"/>
        <v>-6.4624845922276464E-3</v>
      </c>
      <c r="AQ185" s="106">
        <f t="shared" si="445"/>
        <v>-1.9645429497784694E-2</v>
      </c>
      <c r="AR185" s="106">
        <f t="shared" si="445"/>
        <v>-7.4104345395955007E-2</v>
      </c>
      <c r="AS185" s="106">
        <f t="shared" si="445"/>
        <v>-0.14999935269817111</v>
      </c>
      <c r="AT185" s="106">
        <f t="shared" si="445"/>
        <v>-7.8971831549567884E-2</v>
      </c>
      <c r="AU185" s="106">
        <f t="shared" si="445"/>
        <v>1.6339256114330958E-2</v>
      </c>
      <c r="AV185" s="106">
        <f t="shared" si="445"/>
        <v>0.15322789174795748</v>
      </c>
      <c r="AW185" s="106">
        <f t="shared" si="445"/>
        <v>0.26431236226987331</v>
      </c>
      <c r="AX185" s="106">
        <f t="shared" si="445"/>
        <v>0.12122671063322565</v>
      </c>
      <c r="AY185" s="106">
        <f t="shared" si="445"/>
        <v>-1.3570242400875343E-2</v>
      </c>
      <c r="AZ185" s="106">
        <f t="shared" si="445"/>
        <v>-0.15090439998132288</v>
      </c>
      <c r="BA185" s="106">
        <f t="shared" si="445"/>
        <v>-0.23790556458332901</v>
      </c>
      <c r="BB185" s="106">
        <f t="shared" si="445"/>
        <v>-0.26432419673352869</v>
      </c>
      <c r="BC185" s="106">
        <f t="shared" si="445"/>
        <v>-0.22967929724476843</v>
      </c>
      <c r="BD185" s="106">
        <f t="shared" si="445"/>
        <v>-6.0305338087259908E-2</v>
      </c>
      <c r="BE185" s="106">
        <f t="shared" si="445"/>
        <v>0.20568448396477512</v>
      </c>
      <c r="BF185" s="106">
        <f t="shared" si="445"/>
        <v>0.52936089721180113</v>
      </c>
      <c r="BG185" s="106">
        <f t="shared" si="445"/>
        <v>0.62342391173315903</v>
      </c>
      <c r="BH185" s="106">
        <f t="shared" si="445"/>
        <v>0.52364585142732745</v>
      </c>
      <c r="BI185" s="106">
        <f t="shared" si="445"/>
        <v>0.2946796442068107</v>
      </c>
      <c r="BJ185" s="106">
        <f t="shared" si="445"/>
        <v>0.14262898141884683</v>
      </c>
      <c r="BK185" s="106">
        <f>+BK184/BG184-1</f>
        <v>6.2066169444854324E-2</v>
      </c>
      <c r="BL185" s="106">
        <f t="shared" ref="BL185:BO185" si="446">+BL184/BH184-1</f>
        <v>2.6296557825734146E-2</v>
      </c>
      <c r="BM185" s="106">
        <f t="shared" si="446"/>
        <v>2.4040766755165643E-2</v>
      </c>
      <c r="BN185" s="106">
        <f t="shared" si="446"/>
        <v>1.3898062712214498E-2</v>
      </c>
      <c r="BO185" s="106">
        <f t="shared" si="446"/>
        <v>1.8806934718420543E-2</v>
      </c>
      <c r="BP185" s="106"/>
      <c r="BQ185" s="106"/>
      <c r="BR185" s="164" t="str">
        <f>+IFERROR(BR184/BQ184-1,"n/a")</f>
        <v>n/a</v>
      </c>
      <c r="BS185" s="164" t="str">
        <f t="shared" ref="BS185:CI185" si="447">+IFERROR(BS184/BR184-1,"n/a")</f>
        <v>n/a</v>
      </c>
      <c r="BT185" s="164" t="str">
        <f t="shared" si="447"/>
        <v>n/a</v>
      </c>
      <c r="BU185" s="164">
        <f t="shared" si="447"/>
        <v>0.18047618857423586</v>
      </c>
      <c r="BV185" s="164">
        <f t="shared" si="447"/>
        <v>-6.5728759643413071E-2</v>
      </c>
      <c r="BW185" s="164">
        <f t="shared" si="447"/>
        <v>0.10395615223178578</v>
      </c>
      <c r="BX185" s="164">
        <f t="shared" si="447"/>
        <v>0.1167471380397378</v>
      </c>
      <c r="BY185" s="164">
        <f t="shared" si="447"/>
        <v>2.0643201128815347E-2</v>
      </c>
      <c r="BZ185" s="164">
        <f t="shared" si="447"/>
        <v>0.13479756355516592</v>
      </c>
      <c r="CA185" s="164">
        <f t="shared" si="447"/>
        <v>3.9949150220478957E-2</v>
      </c>
      <c r="CB185" s="164">
        <f t="shared" si="447"/>
        <v>-4.6654016233079187E-2</v>
      </c>
      <c r="CC185" s="164">
        <f t="shared" si="447"/>
        <v>-4.7191151526399078E-2</v>
      </c>
      <c r="CD185" s="164">
        <f t="shared" si="447"/>
        <v>-5.4318890544614806E-2</v>
      </c>
      <c r="CE185" s="164">
        <f t="shared" si="447"/>
        <v>8.7853753618178931E-2</v>
      </c>
      <c r="CF185" s="164">
        <f t="shared" si="447"/>
        <v>-0.18516356817768298</v>
      </c>
      <c r="CG185" s="164">
        <f t="shared" si="447"/>
        <v>0.19186567247792108</v>
      </c>
      <c r="CH185" s="164">
        <f t="shared" si="447"/>
        <v>0.31095900003235788</v>
      </c>
      <c r="CI185" s="164">
        <f t="shared" si="447"/>
        <v>2.0798277092795692E-2</v>
      </c>
    </row>
    <row r="186" spans="2:87" x14ac:dyDescent="0.2">
      <c r="B186" s="60" t="s">
        <v>257</v>
      </c>
      <c r="E186" s="57"/>
      <c r="F186" s="57"/>
      <c r="G186" s="57"/>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f t="shared" ref="AC186:BJ186" si="448">+AC184/AB184-1</f>
        <v>0.11904690191096057</v>
      </c>
      <c r="AD186" s="106">
        <f t="shared" si="448"/>
        <v>2.801110189227729E-2</v>
      </c>
      <c r="AE186" s="106">
        <f t="shared" si="448"/>
        <v>0.15721129254124699</v>
      </c>
      <c r="AF186" s="106">
        <f t="shared" si="448"/>
        <v>-0.17720056723240296</v>
      </c>
      <c r="AG186" s="106">
        <f t="shared" si="448"/>
        <v>5.4230052752366698E-2</v>
      </c>
      <c r="AH186" s="106">
        <f t="shared" si="448"/>
        <v>-3.0890544678561227E-3</v>
      </c>
      <c r="AI186" s="106">
        <f t="shared" si="448"/>
        <v>0.1424205848903175</v>
      </c>
      <c r="AJ186" s="106">
        <f t="shared" si="448"/>
        <v>-0.15757981846743019</v>
      </c>
      <c r="AK186" s="106">
        <f t="shared" si="448"/>
        <v>5.4685582929434595E-3</v>
      </c>
      <c r="AL186" s="106">
        <f t="shared" si="448"/>
        <v>-5.7749175044482071E-2</v>
      </c>
      <c r="AM186" s="106">
        <f t="shared" si="448"/>
        <v>0.13757552043353116</v>
      </c>
      <c r="AN186" s="106">
        <f t="shared" si="448"/>
        <v>-0.15924115165835406</v>
      </c>
      <c r="AO186" s="106">
        <f t="shared" si="448"/>
        <v>6.1195911274661841E-2</v>
      </c>
      <c r="AP186" s="106">
        <f t="shared" si="448"/>
        <v>-2.1102953961511961E-2</v>
      </c>
      <c r="AQ186" s="106">
        <f t="shared" si="448"/>
        <v>0.12248137936767467</v>
      </c>
      <c r="AR186" s="106">
        <f t="shared" si="448"/>
        <v>-0.20594549393425599</v>
      </c>
      <c r="AS186" s="106">
        <f t="shared" si="448"/>
        <v>-2.5789561693903451E-2</v>
      </c>
      <c r="AT186" s="106">
        <f t="shared" si="448"/>
        <v>6.0695372734484998E-2</v>
      </c>
      <c r="AU186" s="106">
        <f t="shared" si="448"/>
        <v>0.23863952177281034</v>
      </c>
      <c r="AV186" s="106">
        <f t="shared" si="448"/>
        <v>-9.8995932259698938E-2</v>
      </c>
      <c r="AW186" s="106">
        <f t="shared" si="448"/>
        <v>6.8051084626336689E-2</v>
      </c>
      <c r="AX186" s="106">
        <f t="shared" si="448"/>
        <v>-5.9346393149391274E-2</v>
      </c>
      <c r="AY186" s="106">
        <f t="shared" si="448"/>
        <v>8.9726878273356458E-2</v>
      </c>
      <c r="AZ186" s="106">
        <f t="shared" si="448"/>
        <v>-0.22443683027238537</v>
      </c>
      <c r="BA186" s="106">
        <f t="shared" si="448"/>
        <v>-4.1384988549502677E-2</v>
      </c>
      <c r="BB186" s="106">
        <f t="shared" si="448"/>
        <v>-9.1954926246156088E-2</v>
      </c>
      <c r="BC186" s="106">
        <f t="shared" si="448"/>
        <v>0.14104496974836733</v>
      </c>
      <c r="BD186" s="106">
        <f t="shared" si="448"/>
        <v>-5.3910185767476637E-2</v>
      </c>
      <c r="BE186" s="106">
        <f t="shared" si="448"/>
        <v>0.22996042464366595</v>
      </c>
      <c r="BF186" s="106">
        <f t="shared" si="448"/>
        <v>0.15181761661080428</v>
      </c>
      <c r="BG186" s="106">
        <f t="shared" si="448"/>
        <v>0.21122469629599805</v>
      </c>
      <c r="BH186" s="106">
        <f t="shared" si="448"/>
        <v>-0.11205827996330853</v>
      </c>
      <c r="BI186" s="106">
        <f t="shared" si="448"/>
        <v>4.5127857943090488E-2</v>
      </c>
      <c r="BJ186" s="106">
        <f t="shared" si="448"/>
        <v>1.6545054938744919E-2</v>
      </c>
      <c r="BK186" s="106">
        <f>+BK184/BJ184-1</f>
        <v>0.1258254380478987</v>
      </c>
      <c r="BL186" s="106">
        <f t="shared" ref="BL186:BO186" si="449">+BL184/BK184-1</f>
        <v>-0.14196350750927933</v>
      </c>
      <c r="BM186" s="106">
        <f t="shared" si="449"/>
        <v>4.2830675835664467E-2</v>
      </c>
      <c r="BN186" s="106">
        <f t="shared" si="449"/>
        <v>6.4765928488617064E-3</v>
      </c>
      <c r="BO186" s="106">
        <f t="shared" si="449"/>
        <v>0.13127621577393978</v>
      </c>
      <c r="BP186" s="106"/>
      <c r="BQ186" s="106"/>
      <c r="BR186" s="106"/>
      <c r="BS186" s="106"/>
      <c r="BT186" s="106"/>
      <c r="BU186" s="106"/>
      <c r="BV186" s="106"/>
      <c r="BW186" s="106"/>
      <c r="BX186" s="106"/>
      <c r="BY186" s="106"/>
      <c r="BZ186" s="106"/>
      <c r="CA186" s="106"/>
      <c r="CB186" s="106"/>
      <c r="CC186" s="106"/>
      <c r="CD186" s="106"/>
      <c r="CE186" s="68"/>
      <c r="CF186" s="68"/>
      <c r="CG186" s="68"/>
      <c r="CH186" s="68"/>
      <c r="CI186" s="68"/>
    </row>
    <row r="187" spans="2:87" x14ac:dyDescent="0.2">
      <c r="B187" s="60"/>
      <c r="E187" s="57"/>
      <c r="F187" s="57"/>
      <c r="G187" s="57"/>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c r="AH187" s="106"/>
      <c r="AI187" s="106"/>
      <c r="AJ187" s="106"/>
      <c r="AK187" s="106"/>
      <c r="AL187" s="106"/>
      <c r="AM187" s="106"/>
      <c r="AN187" s="106"/>
      <c r="AO187" s="106"/>
      <c r="AP187" s="106"/>
      <c r="AQ187" s="106"/>
      <c r="AR187" s="106"/>
      <c r="AS187" s="106"/>
      <c r="AT187" s="106"/>
      <c r="AU187" s="106"/>
      <c r="AV187" s="106"/>
      <c r="AW187" s="106"/>
      <c r="AX187" s="106"/>
      <c r="AY187" s="106"/>
      <c r="AZ187" s="106"/>
      <c r="BA187" s="106"/>
      <c r="BB187" s="106"/>
      <c r="BC187" s="106"/>
      <c r="BD187" s="106"/>
      <c r="BE187" s="106"/>
      <c r="BF187" s="106"/>
      <c r="BG187" s="106"/>
      <c r="BH187" s="106"/>
      <c r="BI187" s="106"/>
      <c r="BJ187" s="106"/>
      <c r="BK187" s="106"/>
      <c r="BL187" s="106"/>
      <c r="BM187" s="106"/>
      <c r="BN187" s="106"/>
      <c r="BO187" s="106"/>
      <c r="BP187" s="106"/>
      <c r="BQ187" s="106"/>
      <c r="BR187" s="106"/>
      <c r="BS187" s="106"/>
      <c r="BT187" s="106"/>
      <c r="BU187" s="106"/>
      <c r="BV187" s="106"/>
      <c r="BW187" s="106"/>
      <c r="BX187" s="106"/>
      <c r="BY187" s="106"/>
      <c r="BZ187" s="106"/>
      <c r="CA187" s="106"/>
      <c r="CB187" s="106"/>
      <c r="CC187" s="106"/>
      <c r="CD187" s="106"/>
      <c r="CE187" s="68"/>
      <c r="CF187" s="68"/>
      <c r="CG187" s="68"/>
      <c r="CH187" s="68"/>
      <c r="CI187" s="68"/>
    </row>
    <row r="188" spans="2:87" x14ac:dyDescent="0.2">
      <c r="B188" t="s">
        <v>300</v>
      </c>
      <c r="E188" s="57"/>
      <c r="F188" s="57"/>
      <c r="G188" s="57"/>
      <c r="H188" s="106"/>
      <c r="I188" s="106"/>
      <c r="J188" s="106"/>
      <c r="K188" s="106"/>
      <c r="L188" s="106"/>
      <c r="M188" s="106"/>
      <c r="N188" s="106"/>
      <c r="O188" s="106"/>
      <c r="P188" s="106"/>
      <c r="Q188" s="106"/>
      <c r="R188" s="106"/>
      <c r="S188" s="106"/>
      <c r="T188" s="106"/>
      <c r="U188" s="106"/>
      <c r="V188" s="106"/>
      <c r="W188" s="106"/>
      <c r="X188" s="106"/>
      <c r="Y188" s="106"/>
      <c r="Z188" s="106"/>
      <c r="AA188" s="106"/>
      <c r="AB188" s="228">
        <f>+AB47/AVERAGE(AA168:AB168)</f>
        <v>0.25653315074746091</v>
      </c>
      <c r="AC188" s="80">
        <f t="shared" ref="AC188:BK188" si="450">+AC47/AVERAGE(AB168:AC168)*1000000</f>
        <v>263553.19830562774</v>
      </c>
      <c r="AD188" s="80">
        <f t="shared" si="450"/>
        <v>261614.43111962106</v>
      </c>
      <c r="AE188" s="80">
        <f t="shared" si="450"/>
        <v>262545.63455231732</v>
      </c>
      <c r="AF188" s="80">
        <f t="shared" si="450"/>
        <v>262717.06962979509</v>
      </c>
      <c r="AG188" s="80">
        <f t="shared" si="450"/>
        <v>249568.83433093232</v>
      </c>
      <c r="AH188" s="80">
        <f t="shared" si="450"/>
        <v>237592.13198548707</v>
      </c>
      <c r="AI188" s="80">
        <f t="shared" si="450"/>
        <v>233291.82233291824</v>
      </c>
      <c r="AJ188" s="80">
        <f t="shared" si="450"/>
        <v>247057.26254335916</v>
      </c>
      <c r="AK188" s="80">
        <f t="shared" si="450"/>
        <v>253994.5188479239</v>
      </c>
      <c r="AL188" s="80">
        <f t="shared" si="450"/>
        <v>248775.06613860145</v>
      </c>
      <c r="AM188" s="80">
        <f t="shared" si="450"/>
        <v>262858.95972135908</v>
      </c>
      <c r="AN188" s="80">
        <f t="shared" si="450"/>
        <v>238822.24645583425</v>
      </c>
      <c r="AO188" s="80">
        <f t="shared" si="450"/>
        <v>265034.09795412276</v>
      </c>
      <c r="AP188" s="80">
        <f t="shared" si="450"/>
        <v>253189.97109372166</v>
      </c>
      <c r="AQ188" s="80">
        <f t="shared" si="450"/>
        <v>265402.62810894375</v>
      </c>
      <c r="AR188" s="80">
        <f t="shared" si="450"/>
        <v>254135.82233665916</v>
      </c>
      <c r="AS188" s="80">
        <f t="shared" si="450"/>
        <v>252455.30842642012</v>
      </c>
      <c r="AT188" s="80">
        <f t="shared" si="450"/>
        <v>245999.98168280107</v>
      </c>
      <c r="AU188" s="80">
        <f t="shared" si="450"/>
        <v>265441.57838569459</v>
      </c>
      <c r="AV188" s="80">
        <f t="shared" si="450"/>
        <v>248083.98597997619</v>
      </c>
      <c r="AW188" s="80">
        <f t="shared" si="450"/>
        <v>269390.12397427007</v>
      </c>
      <c r="AX188" s="80">
        <f t="shared" si="450"/>
        <v>282517.9927193136</v>
      </c>
      <c r="AY188" s="80">
        <f t="shared" si="450"/>
        <v>300912.61318472744</v>
      </c>
      <c r="AZ188" s="80">
        <f t="shared" si="450"/>
        <v>258841.59572692373</v>
      </c>
      <c r="BA188" s="80">
        <f t="shared" si="450"/>
        <v>253647.16964761587</v>
      </c>
      <c r="BB188" s="80">
        <f t="shared" si="450"/>
        <v>253261.30850310475</v>
      </c>
      <c r="BC188" s="80">
        <f t="shared" si="450"/>
        <v>248199.03795254204</v>
      </c>
      <c r="BD188" s="80">
        <f t="shared" si="450"/>
        <v>247854.47076945647</v>
      </c>
      <c r="BE188" s="80">
        <f t="shared" si="450"/>
        <v>268631.00085474114</v>
      </c>
      <c r="BF188" s="80">
        <f t="shared" si="450"/>
        <v>290845.16250889911</v>
      </c>
      <c r="BG188" s="80">
        <f t="shared" si="450"/>
        <v>338257.10476247547</v>
      </c>
      <c r="BH188" s="80">
        <f t="shared" si="450"/>
        <v>327722.72880289215</v>
      </c>
      <c r="BI188" s="80">
        <f t="shared" si="450"/>
        <v>325759.30577757477</v>
      </c>
      <c r="BJ188" s="80">
        <f t="shared" si="450"/>
        <v>324560.23965978366</v>
      </c>
      <c r="BK188" s="80">
        <f t="shared" si="450"/>
        <v>361669.75110848353</v>
      </c>
      <c r="BL188" s="80">
        <f t="shared" ref="BL188" si="451">+BL47/AVERAGE(BK168:BL168)*1000000</f>
        <v>337743.17365780042</v>
      </c>
      <c r="BM188" s="80">
        <f t="shared" ref="BM188" si="452">+BM47/AVERAGE(BL168:BM168)*1000000</f>
        <v>335481.56286030827</v>
      </c>
      <c r="BN188" s="80">
        <f t="shared" ref="BN188" si="453">+BN47/AVERAGE(BM168:BN168)*1000000</f>
        <v>337644.48120458383</v>
      </c>
      <c r="BO188" s="80">
        <f t="shared" ref="BO188" si="454">+BO47/AVERAGE(BN168:BO168)*1000000</f>
        <v>371809.05306383211</v>
      </c>
      <c r="BP188" s="106"/>
      <c r="BQ188" s="83" t="s">
        <v>127</v>
      </c>
      <c r="BR188" s="83" t="s">
        <v>127</v>
      </c>
      <c r="BS188" s="83" t="s">
        <v>127</v>
      </c>
      <c r="BT188" s="228">
        <f t="shared" ref="BT188:CI188" si="455">+BT47/AVERAGE(BS168:BT168)</f>
        <v>0.56322869955156951</v>
      </c>
      <c r="BU188" s="228">
        <f t="shared" si="455"/>
        <v>0.7336211751454853</v>
      </c>
      <c r="BV188" s="228">
        <f t="shared" si="455"/>
        <v>1.1640874792172913</v>
      </c>
      <c r="BW188" s="228">
        <f t="shared" si="455"/>
        <v>0.92515516611902149</v>
      </c>
      <c r="BX188" s="228">
        <f t="shared" si="455"/>
        <v>0.96176622039134907</v>
      </c>
      <c r="BY188" s="228">
        <f t="shared" si="455"/>
        <v>1.0691640018273183</v>
      </c>
      <c r="BZ188" s="228">
        <f t="shared" si="455"/>
        <v>1.0229664749991594</v>
      </c>
      <c r="CA188" s="228">
        <f t="shared" si="455"/>
        <v>0.97239854503958345</v>
      </c>
      <c r="CB188" s="228">
        <f t="shared" si="455"/>
        <v>1.0205933797564437</v>
      </c>
      <c r="CC188" s="228">
        <f t="shared" si="455"/>
        <v>1.0222652708961988</v>
      </c>
      <c r="CD188" s="228">
        <f t="shared" si="455"/>
        <v>1.0293975624360188</v>
      </c>
      <c r="CE188" s="228">
        <f t="shared" si="455"/>
        <v>1.0902017246925115</v>
      </c>
      <c r="CF188" s="228">
        <f t="shared" si="455"/>
        <v>1.0483048494181204</v>
      </c>
      <c r="CG188" s="228">
        <f t="shared" si="455"/>
        <v>1.077094129350646</v>
      </c>
      <c r="CH188" s="228">
        <f t="shared" si="455"/>
        <v>1.3406906021036702</v>
      </c>
      <c r="CI188" s="228">
        <f t="shared" si="455"/>
        <v>1.3840093324232063</v>
      </c>
    </row>
    <row r="189" spans="2:87" x14ac:dyDescent="0.2">
      <c r="B189" s="60" t="s">
        <v>17</v>
      </c>
      <c r="E189" s="57"/>
      <c r="F189" s="57"/>
      <c r="G189" s="57"/>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f t="shared" ref="AF189:BJ189" si="456">+AF188/AB188-1</f>
        <v>1024104.7300560029</v>
      </c>
      <c r="AG189" s="106">
        <f t="shared" si="456"/>
        <v>-5.306087751770916E-2</v>
      </c>
      <c r="AH189" s="106">
        <f t="shared" si="456"/>
        <v>-9.1823295187986043E-2</v>
      </c>
      <c r="AI189" s="106">
        <f t="shared" si="456"/>
        <v>-0.11142372361011277</v>
      </c>
      <c r="AJ189" s="106">
        <f t="shared" si="456"/>
        <v>-5.9607116920506131E-2</v>
      </c>
      <c r="AK189" s="106">
        <f t="shared" si="456"/>
        <v>1.7733322066660895E-2</v>
      </c>
      <c r="AL189" s="106">
        <f t="shared" si="456"/>
        <v>4.706777981098087E-2</v>
      </c>
      <c r="AM189" s="106">
        <f t="shared" si="456"/>
        <v>0.12673885047820987</v>
      </c>
      <c r="AN189" s="106">
        <f t="shared" si="456"/>
        <v>-3.3332418576764722E-2</v>
      </c>
      <c r="AO189" s="106">
        <f t="shared" si="456"/>
        <v>4.3463847788025145E-2</v>
      </c>
      <c r="AP189" s="106">
        <f t="shared" si="456"/>
        <v>1.7746573334887605E-2</v>
      </c>
      <c r="AQ189" s="106">
        <f t="shared" si="456"/>
        <v>9.6769324137973012E-3</v>
      </c>
      <c r="AR189" s="106">
        <f t="shared" si="456"/>
        <v>6.4121228688202914E-2</v>
      </c>
      <c r="AS189" s="106">
        <f t="shared" si="456"/>
        <v>-4.7461023410957592E-2</v>
      </c>
      <c r="AT189" s="106">
        <f t="shared" si="456"/>
        <v>-2.8397607456020157E-2</v>
      </c>
      <c r="AU189" s="106">
        <f t="shared" si="456"/>
        <v>1.4675919763251777E-4</v>
      </c>
      <c r="AV189" s="106">
        <f t="shared" si="456"/>
        <v>-2.38133935666337E-2</v>
      </c>
      <c r="AW189" s="106">
        <f t="shared" si="456"/>
        <v>6.7080449420558352E-2</v>
      </c>
      <c r="AX189" s="106">
        <f t="shared" si="456"/>
        <v>0.14844721038881947</v>
      </c>
      <c r="AY189" s="106">
        <f t="shared" si="456"/>
        <v>0.13363028887468542</v>
      </c>
      <c r="AZ189" s="106">
        <f t="shared" si="456"/>
        <v>4.3362773717348313E-2</v>
      </c>
      <c r="BA189" s="106">
        <f t="shared" si="456"/>
        <v>-5.8439240809577075E-2</v>
      </c>
      <c r="BB189" s="106">
        <f t="shared" si="456"/>
        <v>-0.10355688830507814</v>
      </c>
      <c r="BC189" s="106">
        <f t="shared" si="456"/>
        <v>-0.17517901517748946</v>
      </c>
      <c r="BD189" s="106">
        <f t="shared" si="456"/>
        <v>-4.2447292625481303E-2</v>
      </c>
      <c r="BE189" s="106">
        <f t="shared" si="456"/>
        <v>5.9073520228677623E-2</v>
      </c>
      <c r="BF189" s="106">
        <f t="shared" si="456"/>
        <v>0.14839950969191817</v>
      </c>
      <c r="BG189" s="106">
        <f t="shared" si="456"/>
        <v>0.36284615586283353</v>
      </c>
      <c r="BH189" s="106">
        <f t="shared" si="456"/>
        <v>0.32223852079604276</v>
      </c>
      <c r="BI189" s="106">
        <f t="shared" si="456"/>
        <v>0.21266460215336447</v>
      </c>
      <c r="BJ189" s="106">
        <f t="shared" si="456"/>
        <v>0.11592105180657053</v>
      </c>
      <c r="BK189" s="106">
        <f>+BK188/BG188-1</f>
        <v>6.9215534622542263E-2</v>
      </c>
      <c r="BL189" s="106">
        <f t="shared" ref="BL189:BO189" si="457">+BL188/BH188-1</f>
        <v>3.057598382483584E-2</v>
      </c>
      <c r="BM189" s="106">
        <f t="shared" si="457"/>
        <v>2.9844909754847437E-2</v>
      </c>
      <c r="BN189" s="106">
        <f t="shared" si="457"/>
        <v>4.0313753645596195E-2</v>
      </c>
      <c r="BO189" s="106">
        <f t="shared" si="457"/>
        <v>2.8034697190662428E-2</v>
      </c>
      <c r="BP189" s="106"/>
      <c r="BQ189" s="106"/>
      <c r="BR189" s="164" t="str">
        <f>+IFERROR(BR188/BQ188-1,"n/a")</f>
        <v>n/a</v>
      </c>
      <c r="BS189" s="164" t="str">
        <f t="shared" ref="BS189:CI189" si="458">+IFERROR(BS188/BR188-1,"n/a")</f>
        <v>n/a</v>
      </c>
      <c r="BT189" s="164" t="str">
        <f t="shared" si="458"/>
        <v>n/a</v>
      </c>
      <c r="BU189" s="164">
        <f t="shared" si="458"/>
        <v>0.30252804185862447</v>
      </c>
      <c r="BV189" s="164">
        <f t="shared" si="458"/>
        <v>0.58676919186041721</v>
      </c>
      <c r="BW189" s="164">
        <f t="shared" si="458"/>
        <v>-0.20525288465341374</v>
      </c>
      <c r="BX189" s="164">
        <f t="shared" si="458"/>
        <v>3.9572879894200996E-2</v>
      </c>
      <c r="BY189" s="164">
        <f t="shared" si="458"/>
        <v>0.11166724216230883</v>
      </c>
      <c r="BZ189" s="164">
        <f t="shared" si="458"/>
        <v>-4.3209018213484773E-2</v>
      </c>
      <c r="CA189" s="164">
        <f t="shared" si="458"/>
        <v>-4.9432636548150333E-2</v>
      </c>
      <c r="CB189" s="164">
        <f t="shared" si="458"/>
        <v>4.9562841247256628E-2</v>
      </c>
      <c r="CC189" s="164">
        <f t="shared" si="458"/>
        <v>1.638155971728894E-3</v>
      </c>
      <c r="CD189" s="164">
        <f t="shared" si="458"/>
        <v>6.9769479046932759E-3</v>
      </c>
      <c r="CE189" s="164">
        <f t="shared" si="458"/>
        <v>5.9067715404923504E-2</v>
      </c>
      <c r="CF189" s="164">
        <f t="shared" si="458"/>
        <v>-3.8430387996504112E-2</v>
      </c>
      <c r="CG189" s="164">
        <f t="shared" si="458"/>
        <v>2.7462698420698484E-2</v>
      </c>
      <c r="CH189" s="164">
        <f t="shared" si="458"/>
        <v>0.24472928184274867</v>
      </c>
      <c r="CI189" s="164">
        <f t="shared" si="458"/>
        <v>3.2310758538595774E-2</v>
      </c>
    </row>
    <row r="190" spans="2:87" x14ac:dyDescent="0.2">
      <c r="B190" s="60" t="s">
        <v>257</v>
      </c>
      <c r="E190" s="57"/>
      <c r="F190" s="57"/>
      <c r="G190" s="57"/>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f t="shared" ref="AC190:BJ190" si="459">+AC188/AB188-1</f>
        <v>1027364.0697296334</v>
      </c>
      <c r="AD190" s="106">
        <f t="shared" si="459"/>
        <v>-7.3562650670564445E-3</v>
      </c>
      <c r="AE190" s="106">
        <f t="shared" si="459"/>
        <v>3.5594497930064861E-3</v>
      </c>
      <c r="AF190" s="106">
        <f t="shared" si="459"/>
        <v>6.5297249283946535E-4</v>
      </c>
      <c r="AG190" s="106">
        <f t="shared" si="459"/>
        <v>-5.0047129854906114E-2</v>
      </c>
      <c r="AH190" s="106">
        <f t="shared" si="459"/>
        <v>-4.7989575210997559E-2</v>
      </c>
      <c r="AI190" s="106">
        <f t="shared" si="459"/>
        <v>-1.8099545707311204E-2</v>
      </c>
      <c r="AJ190" s="106">
        <f t="shared" si="459"/>
        <v>5.900524104439886E-2</v>
      </c>
      <c r="AK190" s="106">
        <f t="shared" si="459"/>
        <v>2.8079548170931501E-2</v>
      </c>
      <c r="AL190" s="106">
        <f t="shared" si="459"/>
        <v>-2.0549469858629266E-2</v>
      </c>
      <c r="AM190" s="106">
        <f t="shared" si="459"/>
        <v>5.6612962871894101E-2</v>
      </c>
      <c r="AN190" s="106">
        <f t="shared" si="459"/>
        <v>-9.1443385802807309E-2</v>
      </c>
      <c r="AO190" s="106">
        <f t="shared" si="459"/>
        <v>0.10975464759785636</v>
      </c>
      <c r="AP190" s="106">
        <f t="shared" si="459"/>
        <v>-4.4689068130589371E-2</v>
      </c>
      <c r="AQ190" s="106">
        <f t="shared" si="459"/>
        <v>4.823515308472226E-2</v>
      </c>
      <c r="AR190" s="106">
        <f t="shared" si="459"/>
        <v>-4.2451749074842393E-2</v>
      </c>
      <c r="AS190" s="106">
        <f t="shared" si="459"/>
        <v>-6.6126604851984849E-3</v>
      </c>
      <c r="AT190" s="106">
        <f t="shared" si="459"/>
        <v>-2.5570176297166292E-2</v>
      </c>
      <c r="AU190" s="106">
        <f t="shared" si="459"/>
        <v>7.9030886790723676E-2</v>
      </c>
      <c r="AV190" s="106">
        <f t="shared" si="459"/>
        <v>-6.5391384843625722E-2</v>
      </c>
      <c r="AW190" s="106">
        <f t="shared" si="459"/>
        <v>8.5882762283630676E-2</v>
      </c>
      <c r="AX190" s="106">
        <f t="shared" si="459"/>
        <v>4.8731811513243795E-2</v>
      </c>
      <c r="AY190" s="106">
        <f t="shared" si="459"/>
        <v>6.5109553867208847E-2</v>
      </c>
      <c r="AZ190" s="106">
        <f t="shared" si="459"/>
        <v>-0.13981141239824568</v>
      </c>
      <c r="BA190" s="106">
        <f t="shared" si="459"/>
        <v>-2.0067972710182014E-2</v>
      </c>
      <c r="BB190" s="106">
        <f t="shared" si="459"/>
        <v>-1.5212515284407369E-3</v>
      </c>
      <c r="BC190" s="106">
        <f t="shared" si="459"/>
        <v>-1.9988329762975376E-2</v>
      </c>
      <c r="BD190" s="106">
        <f t="shared" si="459"/>
        <v>-1.3882696159017716E-3</v>
      </c>
      <c r="BE190" s="106">
        <f t="shared" si="459"/>
        <v>8.382552076137495E-2</v>
      </c>
      <c r="BF190" s="106">
        <f t="shared" si="459"/>
        <v>8.2693961543813144E-2</v>
      </c>
      <c r="BG190" s="106">
        <f t="shared" si="459"/>
        <v>0.16301437453726142</v>
      </c>
      <c r="BH190" s="106">
        <f t="shared" si="459"/>
        <v>-3.1143103311844889E-2</v>
      </c>
      <c r="BI190" s="106">
        <f t="shared" si="459"/>
        <v>-5.9911103282014322E-3</v>
      </c>
      <c r="BJ190" s="106">
        <f t="shared" si="459"/>
        <v>-3.6808345810075416E-3</v>
      </c>
      <c r="BK190" s="106">
        <f>+BK188/BJ188-1</f>
        <v>0.1143378236582504</v>
      </c>
      <c r="BL190" s="106">
        <f t="shared" ref="BL190:BO190" si="460">+BL188/BK188-1</f>
        <v>-6.6155871143081302E-2</v>
      </c>
      <c r="BM190" s="106">
        <f t="shared" si="460"/>
        <v>-6.6962442882223527E-3</v>
      </c>
      <c r="BN190" s="106">
        <f t="shared" si="460"/>
        <v>6.4472048056369857E-3</v>
      </c>
      <c r="BO190" s="106">
        <f t="shared" si="460"/>
        <v>0.10118504451001953</v>
      </c>
      <c r="BP190" s="106"/>
      <c r="BQ190" s="106"/>
      <c r="BR190" s="106"/>
      <c r="BS190" s="106"/>
      <c r="BT190" s="106"/>
      <c r="BU190" s="106"/>
      <c r="BV190" s="106"/>
      <c r="BW190" s="106"/>
      <c r="BX190" s="106"/>
      <c r="BY190" s="106"/>
      <c r="BZ190" s="106"/>
      <c r="CA190" s="106"/>
      <c r="CB190" s="106"/>
      <c r="CC190" s="106"/>
      <c r="CD190" s="106"/>
      <c r="CE190" s="68"/>
      <c r="CF190" s="68"/>
      <c r="CG190" s="68"/>
      <c r="CH190" s="68"/>
      <c r="CI190" s="68"/>
    </row>
    <row r="191" spans="2:87" s="76" customFormat="1" x14ac:dyDescent="0.2">
      <c r="B191" s="101"/>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161"/>
      <c r="AK191" s="161"/>
      <c r="AL191" s="161"/>
      <c r="AM191" s="161"/>
      <c r="AN191" s="161"/>
      <c r="AO191" s="161"/>
      <c r="AP191" s="161"/>
      <c r="AQ191" s="161"/>
      <c r="AR191" s="161"/>
      <c r="AS191" s="161"/>
      <c r="AT191" s="161"/>
      <c r="AU191" s="161"/>
      <c r="AV191" s="161"/>
      <c r="AW191" s="161"/>
      <c r="AX191" s="161"/>
      <c r="AY191" s="161"/>
      <c r="AZ191" s="161"/>
      <c r="BA191" s="161"/>
      <c r="BB191" s="161"/>
      <c r="BC191" s="161"/>
      <c r="BD191" s="161"/>
      <c r="BE191" s="161"/>
      <c r="BF191" s="161"/>
      <c r="BG191" s="161"/>
      <c r="BH191" s="161"/>
      <c r="BI191" s="161"/>
      <c r="BJ191" s="161"/>
      <c r="BK191" s="161"/>
      <c r="BL191" s="161"/>
      <c r="BM191" s="161"/>
      <c r="BN191" s="161"/>
      <c r="BO191" s="161"/>
      <c r="BP191" s="161"/>
      <c r="BQ191" s="161"/>
      <c r="BR191" s="161"/>
      <c r="BS191" s="161"/>
      <c r="BT191" s="161"/>
      <c r="BU191" s="161"/>
      <c r="BV191" s="161"/>
      <c r="BW191" s="161"/>
      <c r="BX191" s="161"/>
      <c r="BY191" s="161"/>
      <c r="BZ191" s="161"/>
      <c r="CA191" s="161"/>
      <c r="CB191" s="161"/>
      <c r="CC191" s="161"/>
      <c r="CD191" s="161"/>
      <c r="CE191" s="161"/>
      <c r="CF191" s="161"/>
      <c r="CG191" s="161"/>
      <c r="CH191" s="161"/>
      <c r="CI191" s="161"/>
    </row>
    <row r="192" spans="2:87" x14ac:dyDescent="0.2">
      <c r="B192" s="52" t="s">
        <v>315</v>
      </c>
      <c r="C192" s="53"/>
      <c r="H192" s="49"/>
      <c r="I192" s="49"/>
      <c r="J192" s="49"/>
      <c r="K192" s="49"/>
      <c r="L192" s="49"/>
      <c r="AB192" s="49"/>
      <c r="AC192" s="49"/>
      <c r="AD192" s="49"/>
      <c r="BU192" s="49"/>
    </row>
    <row r="193" spans="2:87" x14ac:dyDescent="0.2">
      <c r="H193" s="49"/>
      <c r="I193" s="49"/>
      <c r="J193" s="49"/>
      <c r="K193" s="49"/>
      <c r="L193" s="49"/>
      <c r="AB193" s="49"/>
      <c r="AC193" s="49"/>
      <c r="AD193" s="49"/>
      <c r="BU193" s="49"/>
    </row>
    <row r="194" spans="2:87" x14ac:dyDescent="0.2">
      <c r="B194" s="54" t="s">
        <v>433</v>
      </c>
      <c r="H194" s="49"/>
      <c r="I194" s="49"/>
      <c r="J194" s="49"/>
      <c r="K194" s="49"/>
      <c r="L194" s="49"/>
      <c r="AB194" s="49"/>
      <c r="AC194" s="49"/>
      <c r="AD194" s="49"/>
      <c r="BA194" s="64"/>
      <c r="BB194" s="64"/>
      <c r="BC194" s="64"/>
      <c r="BD194" s="64"/>
      <c r="BE194" s="64"/>
      <c r="BF194" s="64"/>
      <c r="BG194" s="64"/>
      <c r="BH194" s="64"/>
      <c r="BI194" s="64"/>
      <c r="BJ194" s="64"/>
      <c r="BK194" s="64"/>
      <c r="BL194" s="64"/>
      <c r="BM194" s="64"/>
      <c r="BN194" s="64"/>
      <c r="BO194" s="64"/>
      <c r="BP194" s="64"/>
      <c r="BQ194" s="64"/>
      <c r="BU194" s="49"/>
    </row>
    <row r="195" spans="2:87" x14ac:dyDescent="0.2">
      <c r="B195" t="s">
        <v>212</v>
      </c>
      <c r="D195" s="83" t="s">
        <v>127</v>
      </c>
      <c r="E195" s="83" t="s">
        <v>127</v>
      </c>
      <c r="F195" s="83" t="s">
        <v>127</v>
      </c>
      <c r="G195" s="83" t="s">
        <v>127</v>
      </c>
      <c r="H195" s="83" t="s">
        <v>127</v>
      </c>
      <c r="I195" s="83" t="s">
        <v>127</v>
      </c>
      <c r="J195" s="83" t="s">
        <v>127</v>
      </c>
      <c r="K195" s="83" t="s">
        <v>127</v>
      </c>
      <c r="L195" s="83" t="s">
        <v>127</v>
      </c>
      <c r="M195" s="83" t="s">
        <v>127</v>
      </c>
      <c r="N195" s="83" t="s">
        <v>127</v>
      </c>
      <c r="O195" s="83" t="s">
        <v>127</v>
      </c>
      <c r="P195" s="83" t="s">
        <v>127</v>
      </c>
      <c r="Q195" s="83" t="s">
        <v>127</v>
      </c>
      <c r="R195" s="83" t="s">
        <v>127</v>
      </c>
      <c r="S195" s="83" t="s">
        <v>127</v>
      </c>
      <c r="T195" s="83" t="s">
        <v>127</v>
      </c>
      <c r="U195" s="83" t="s">
        <v>127</v>
      </c>
      <c r="V195" s="83" t="s">
        <v>127</v>
      </c>
      <c r="W195" s="83" t="s">
        <v>127</v>
      </c>
      <c r="X195" s="83" t="s">
        <v>127</v>
      </c>
      <c r="Y195" s="83" t="s">
        <v>127</v>
      </c>
      <c r="Z195" s="83" t="s">
        <v>127</v>
      </c>
      <c r="AA195" s="83" t="s">
        <v>127</v>
      </c>
      <c r="AB195" s="83" t="s">
        <v>127</v>
      </c>
      <c r="AC195" s="83" t="s">
        <v>127</v>
      </c>
      <c r="AD195" s="83" t="s">
        <v>127</v>
      </c>
      <c r="AE195" s="83" t="s">
        <v>127</v>
      </c>
      <c r="AF195" s="83" t="s">
        <v>127</v>
      </c>
      <c r="AG195" s="83" t="s">
        <v>127</v>
      </c>
      <c r="AH195" s="83" t="s">
        <v>127</v>
      </c>
      <c r="AI195" s="83" t="s">
        <v>127</v>
      </c>
      <c r="AJ195" s="83" t="s">
        <v>127</v>
      </c>
      <c r="AK195" s="83" t="s">
        <v>127</v>
      </c>
      <c r="AL195" s="83" t="s">
        <v>127</v>
      </c>
      <c r="AM195" s="83" t="s">
        <v>127</v>
      </c>
      <c r="AN195" s="83" t="s">
        <v>127</v>
      </c>
      <c r="AO195" s="83" t="s">
        <v>127</v>
      </c>
      <c r="AP195" s="83" t="s">
        <v>127</v>
      </c>
      <c r="AQ195" s="83" t="s">
        <v>127</v>
      </c>
      <c r="AR195" s="83" t="s">
        <v>127</v>
      </c>
      <c r="AS195" s="83" t="s">
        <v>127</v>
      </c>
      <c r="AT195" s="83" t="s">
        <v>127</v>
      </c>
      <c r="AU195" s="81">
        <v>27187</v>
      </c>
      <c r="AV195" s="81">
        <v>25439</v>
      </c>
      <c r="AW195" s="81">
        <v>28580</v>
      </c>
      <c r="AX195" s="81">
        <v>28276</v>
      </c>
      <c r="AY195" s="81">
        <v>32639</v>
      </c>
      <c r="AZ195" s="81">
        <v>26998</v>
      </c>
      <c r="BA195" s="81">
        <v>28152</v>
      </c>
      <c r="BB195" s="81">
        <v>27237</v>
      </c>
      <c r="BC195" s="81">
        <v>31254</v>
      </c>
      <c r="BD195" s="81">
        <v>28101</v>
      </c>
      <c r="BE195" s="81">
        <v>31498</v>
      </c>
      <c r="BF195" s="81">
        <v>33643</v>
      </c>
      <c r="BG195" s="81">
        <v>38706</v>
      </c>
      <c r="BH195" s="81">
        <v>35635</v>
      </c>
      <c r="BI195" s="81">
        <v>38329</v>
      </c>
      <c r="BJ195" s="81">
        <v>39885</v>
      </c>
      <c r="BK195" s="81"/>
      <c r="BL195" s="81"/>
      <c r="BM195" s="81"/>
      <c r="BN195" s="81"/>
      <c r="BO195" s="81"/>
      <c r="BQ195" s="83" t="s">
        <v>127</v>
      </c>
      <c r="BR195" s="83" t="s">
        <v>127</v>
      </c>
      <c r="BS195" s="83" t="s">
        <v>127</v>
      </c>
      <c r="BT195" s="83" t="s">
        <v>127</v>
      </c>
      <c r="BU195" s="83" t="s">
        <v>127</v>
      </c>
      <c r="BV195" s="83" t="s">
        <v>127</v>
      </c>
      <c r="BW195" s="83" t="s">
        <v>127</v>
      </c>
      <c r="BX195" s="83" t="s">
        <v>127</v>
      </c>
      <c r="BY195" s="83" t="s">
        <v>127</v>
      </c>
      <c r="BZ195" s="83" t="s">
        <v>127</v>
      </c>
      <c r="CA195" s="83" t="s">
        <v>127</v>
      </c>
      <c r="CB195" s="83" t="s">
        <v>127</v>
      </c>
      <c r="CC195" s="81">
        <v>69655</v>
      </c>
      <c r="CD195" s="81">
        <v>84169</v>
      </c>
      <c r="CE195" s="81">
        <v>114934</v>
      </c>
      <c r="CF195" s="80">
        <f>+SUM(AZ195:BC195)</f>
        <v>113641</v>
      </c>
      <c r="CG195" s="80">
        <f>+SUM(BD195:BG195)</f>
        <v>131948</v>
      </c>
      <c r="CH195" s="80"/>
      <c r="CI195" s="80"/>
    </row>
    <row r="196" spans="2:87" ht="13.5" x14ac:dyDescent="0.35">
      <c r="B196" t="s">
        <v>316</v>
      </c>
      <c r="D196" s="85" t="s">
        <v>127</v>
      </c>
      <c r="E196" s="85" t="s">
        <v>127</v>
      </c>
      <c r="F196" s="85" t="s">
        <v>127</v>
      </c>
      <c r="G196" s="85" t="s">
        <v>127</v>
      </c>
      <c r="H196" s="85" t="s">
        <v>127</v>
      </c>
      <c r="I196" s="85" t="s">
        <v>127</v>
      </c>
      <c r="J196" s="85" t="s">
        <v>127</v>
      </c>
      <c r="K196" s="85" t="s">
        <v>127</v>
      </c>
      <c r="L196" s="85" t="s">
        <v>127</v>
      </c>
      <c r="M196" s="85" t="s">
        <v>127</v>
      </c>
      <c r="N196" s="85" t="s">
        <v>127</v>
      </c>
      <c r="O196" s="85" t="s">
        <v>127</v>
      </c>
      <c r="P196" s="85" t="s">
        <v>127</v>
      </c>
      <c r="Q196" s="85" t="s">
        <v>127</v>
      </c>
      <c r="R196" s="85" t="s">
        <v>127</v>
      </c>
      <c r="S196" s="85" t="s">
        <v>127</v>
      </c>
      <c r="T196" s="85" t="s">
        <v>127</v>
      </c>
      <c r="U196" s="85" t="s">
        <v>127</v>
      </c>
      <c r="V196" s="85" t="s">
        <v>127</v>
      </c>
      <c r="W196" s="85" t="s">
        <v>127</v>
      </c>
      <c r="X196" s="85" t="s">
        <v>127</v>
      </c>
      <c r="Y196" s="85" t="s">
        <v>127</v>
      </c>
      <c r="Z196" s="85" t="s">
        <v>127</v>
      </c>
      <c r="AA196" s="85" t="s">
        <v>127</v>
      </c>
      <c r="AB196" s="85" t="s">
        <v>127</v>
      </c>
      <c r="AC196" s="85" t="s">
        <v>127</v>
      </c>
      <c r="AD196" s="85" t="s">
        <v>127</v>
      </c>
      <c r="AE196" s="85" t="s">
        <v>127</v>
      </c>
      <c r="AF196" s="85" t="s">
        <v>127</v>
      </c>
      <c r="AG196" s="85" t="s">
        <v>127</v>
      </c>
      <c r="AH196" s="85" t="s">
        <v>127</v>
      </c>
      <c r="AI196" s="85" t="s">
        <v>127</v>
      </c>
      <c r="AJ196" s="85" t="s">
        <v>127</v>
      </c>
      <c r="AK196" s="85" t="s">
        <v>127</v>
      </c>
      <c r="AL196" s="85" t="s">
        <v>127</v>
      </c>
      <c r="AM196" s="85" t="s">
        <v>127</v>
      </c>
      <c r="AN196" s="85" t="s">
        <v>127</v>
      </c>
      <c r="AO196" s="85" t="s">
        <v>127</v>
      </c>
      <c r="AP196" s="85" t="s">
        <v>127</v>
      </c>
      <c r="AQ196" s="85" t="s">
        <v>127</v>
      </c>
      <c r="AR196" s="85" t="s">
        <v>127</v>
      </c>
      <c r="AS196" s="85" t="s">
        <v>127</v>
      </c>
      <c r="AT196" s="85" t="s">
        <v>127</v>
      </c>
      <c r="AU196" s="82">
        <v>168</v>
      </c>
      <c r="AV196" s="82">
        <v>198</v>
      </c>
      <c r="AW196" s="82">
        <v>192</v>
      </c>
      <c r="AX196" s="82">
        <v>176</v>
      </c>
      <c r="AY196" s="82">
        <v>155</v>
      </c>
      <c r="AZ196" s="82">
        <v>215</v>
      </c>
      <c r="BA196" s="82">
        <v>218</v>
      </c>
      <c r="BB196" s="82">
        <v>192</v>
      </c>
      <c r="BC196" s="82">
        <v>184</v>
      </c>
      <c r="BD196" s="82">
        <v>205</v>
      </c>
      <c r="BE196" s="82">
        <v>225</v>
      </c>
      <c r="BF196" s="82">
        <v>293</v>
      </c>
      <c r="BG196" s="82">
        <v>334</v>
      </c>
      <c r="BH196" s="82">
        <v>380</v>
      </c>
      <c r="BI196" s="82">
        <v>389</v>
      </c>
      <c r="BJ196" s="82">
        <v>434</v>
      </c>
      <c r="BK196" s="82"/>
      <c r="BL196" s="82"/>
      <c r="BM196" s="82"/>
      <c r="BN196" s="82"/>
      <c r="BO196" s="82"/>
      <c r="BQ196" s="85" t="s">
        <v>127</v>
      </c>
      <c r="BR196" s="85" t="s">
        <v>127</v>
      </c>
      <c r="BS196" s="85" t="s">
        <v>127</v>
      </c>
      <c r="BT196" s="85" t="s">
        <v>127</v>
      </c>
      <c r="BU196" s="85" t="s">
        <v>127</v>
      </c>
      <c r="BV196" s="85" t="s">
        <v>127</v>
      </c>
      <c r="BW196" s="85" t="s">
        <v>127</v>
      </c>
      <c r="BX196" s="85" t="s">
        <v>127</v>
      </c>
      <c r="BY196" s="85" t="s">
        <v>127</v>
      </c>
      <c r="BZ196" s="85" t="s">
        <v>127</v>
      </c>
      <c r="CA196" s="85" t="s">
        <v>127</v>
      </c>
      <c r="CB196" s="85" t="s">
        <v>127</v>
      </c>
      <c r="CC196" s="82">
        <v>541</v>
      </c>
      <c r="CD196" s="82">
        <v>657</v>
      </c>
      <c r="CE196" s="82">
        <v>721</v>
      </c>
      <c r="CF196" s="72">
        <f>+SUM(AZ196:BC196)</f>
        <v>809</v>
      </c>
      <c r="CG196" s="72">
        <f>+SUM(BD196:BG196)</f>
        <v>1057</v>
      </c>
      <c r="CH196" s="72"/>
      <c r="CI196" s="72"/>
    </row>
    <row r="197" spans="2:87" x14ac:dyDescent="0.2">
      <c r="B197" s="70" t="s">
        <v>317</v>
      </c>
      <c r="D197" s="84" t="str">
        <f>+IFERROR(D195+D196,"n/a")</f>
        <v>n/a</v>
      </c>
      <c r="E197" s="84" t="str">
        <f t="shared" ref="E197:AQ197" si="461">+IFERROR(E195+E196,"n/a")</f>
        <v>n/a</v>
      </c>
      <c r="F197" s="84" t="str">
        <f t="shared" si="461"/>
        <v>n/a</v>
      </c>
      <c r="G197" s="84" t="str">
        <f t="shared" si="461"/>
        <v>n/a</v>
      </c>
      <c r="H197" s="84" t="str">
        <f t="shared" si="461"/>
        <v>n/a</v>
      </c>
      <c r="I197" s="84" t="str">
        <f t="shared" si="461"/>
        <v>n/a</v>
      </c>
      <c r="J197" s="84" t="str">
        <f t="shared" si="461"/>
        <v>n/a</v>
      </c>
      <c r="K197" s="84" t="str">
        <f t="shared" si="461"/>
        <v>n/a</v>
      </c>
      <c r="L197" s="84" t="str">
        <f t="shared" si="461"/>
        <v>n/a</v>
      </c>
      <c r="M197" s="84" t="str">
        <f t="shared" si="461"/>
        <v>n/a</v>
      </c>
      <c r="N197" s="84" t="str">
        <f t="shared" si="461"/>
        <v>n/a</v>
      </c>
      <c r="O197" s="84" t="str">
        <f t="shared" si="461"/>
        <v>n/a</v>
      </c>
      <c r="P197" s="84" t="str">
        <f t="shared" si="461"/>
        <v>n/a</v>
      </c>
      <c r="Q197" s="84" t="str">
        <f t="shared" si="461"/>
        <v>n/a</v>
      </c>
      <c r="R197" s="84" t="str">
        <f t="shared" si="461"/>
        <v>n/a</v>
      </c>
      <c r="S197" s="84" t="str">
        <f t="shared" si="461"/>
        <v>n/a</v>
      </c>
      <c r="T197" s="84" t="str">
        <f t="shared" si="461"/>
        <v>n/a</v>
      </c>
      <c r="U197" s="84" t="str">
        <f t="shared" si="461"/>
        <v>n/a</v>
      </c>
      <c r="V197" s="84" t="str">
        <f t="shared" si="461"/>
        <v>n/a</v>
      </c>
      <c r="W197" s="84" t="str">
        <f t="shared" si="461"/>
        <v>n/a</v>
      </c>
      <c r="X197" s="84" t="str">
        <f t="shared" si="461"/>
        <v>n/a</v>
      </c>
      <c r="Y197" s="84" t="str">
        <f t="shared" si="461"/>
        <v>n/a</v>
      </c>
      <c r="Z197" s="84" t="str">
        <f t="shared" si="461"/>
        <v>n/a</v>
      </c>
      <c r="AA197" s="84" t="str">
        <f t="shared" si="461"/>
        <v>n/a</v>
      </c>
      <c r="AB197" s="84" t="str">
        <f t="shared" si="461"/>
        <v>n/a</v>
      </c>
      <c r="AC197" s="84" t="str">
        <f t="shared" si="461"/>
        <v>n/a</v>
      </c>
      <c r="AD197" s="84" t="str">
        <f t="shared" si="461"/>
        <v>n/a</v>
      </c>
      <c r="AE197" s="84" t="str">
        <f t="shared" si="461"/>
        <v>n/a</v>
      </c>
      <c r="AF197" s="84" t="str">
        <f t="shared" si="461"/>
        <v>n/a</v>
      </c>
      <c r="AG197" s="84" t="str">
        <f t="shared" si="461"/>
        <v>n/a</v>
      </c>
      <c r="AH197" s="84" t="str">
        <f t="shared" si="461"/>
        <v>n/a</v>
      </c>
      <c r="AI197" s="84" t="str">
        <f t="shared" si="461"/>
        <v>n/a</v>
      </c>
      <c r="AJ197" s="84" t="str">
        <f t="shared" si="461"/>
        <v>n/a</v>
      </c>
      <c r="AK197" s="84" t="str">
        <f t="shared" si="461"/>
        <v>n/a</v>
      </c>
      <c r="AL197" s="84" t="str">
        <f t="shared" si="461"/>
        <v>n/a</v>
      </c>
      <c r="AM197" s="84" t="str">
        <f t="shared" si="461"/>
        <v>n/a</v>
      </c>
      <c r="AN197" s="84" t="str">
        <f t="shared" si="461"/>
        <v>n/a</v>
      </c>
      <c r="AO197" s="84" t="str">
        <f t="shared" si="461"/>
        <v>n/a</v>
      </c>
      <c r="AP197" s="84" t="str">
        <f t="shared" si="461"/>
        <v>n/a</v>
      </c>
      <c r="AQ197" s="84" t="str">
        <f t="shared" si="461"/>
        <v>n/a</v>
      </c>
      <c r="AR197" s="84" t="str">
        <f>+IFERROR(AR195+AR196,"n/a")</f>
        <v>n/a</v>
      </c>
      <c r="AS197" s="84" t="str">
        <f>+IFERROR(AS195+AS196,"n/a")</f>
        <v>n/a</v>
      </c>
      <c r="AT197" s="84" t="str">
        <f>+IFERROR(AT195+AT196,"n/a")</f>
        <v>n/a</v>
      </c>
      <c r="AU197" s="64">
        <f t="shared" ref="AU197:BI197" si="462">SUM(AU195:AU196)</f>
        <v>27355</v>
      </c>
      <c r="AV197" s="64">
        <f t="shared" si="462"/>
        <v>25637</v>
      </c>
      <c r="AW197" s="64">
        <f t="shared" si="462"/>
        <v>28772</v>
      </c>
      <c r="AX197" s="64">
        <f t="shared" si="462"/>
        <v>28452</v>
      </c>
      <c r="AY197" s="64">
        <f t="shared" si="462"/>
        <v>32794</v>
      </c>
      <c r="AZ197" s="64">
        <f t="shared" si="462"/>
        <v>27213</v>
      </c>
      <c r="BA197" s="64">
        <f t="shared" si="462"/>
        <v>28370</v>
      </c>
      <c r="BB197" s="64">
        <f t="shared" si="462"/>
        <v>27429</v>
      </c>
      <c r="BC197" s="64">
        <f t="shared" si="462"/>
        <v>31438</v>
      </c>
      <c r="BD197" s="64">
        <f t="shared" si="462"/>
        <v>28306</v>
      </c>
      <c r="BE197" s="64">
        <f t="shared" si="462"/>
        <v>31723</v>
      </c>
      <c r="BF197" s="64">
        <f t="shared" si="462"/>
        <v>33936</v>
      </c>
      <c r="BG197" s="64">
        <f t="shared" si="462"/>
        <v>39040</v>
      </c>
      <c r="BH197" s="64">
        <f t="shared" si="462"/>
        <v>36015</v>
      </c>
      <c r="BI197" s="64">
        <f t="shared" si="462"/>
        <v>38718</v>
      </c>
      <c r="BJ197" s="64">
        <f t="shared" ref="BJ197" si="463">SUM(BJ195:BJ196)</f>
        <v>40319</v>
      </c>
      <c r="BK197" s="64"/>
      <c r="BL197" s="64"/>
      <c r="BM197" s="64"/>
      <c r="BN197" s="64"/>
      <c r="BO197" s="64"/>
      <c r="BQ197" s="84" t="str">
        <f>+IFERROR(BQ195+BQ196,"n/a")</f>
        <v>n/a</v>
      </c>
      <c r="BR197" s="84" t="str">
        <f t="shared" ref="BR197:CA197" si="464">+IFERROR(BR195+BR196,"n/a")</f>
        <v>n/a</v>
      </c>
      <c r="BS197" s="84" t="str">
        <f t="shared" si="464"/>
        <v>n/a</v>
      </c>
      <c r="BT197" s="84" t="str">
        <f t="shared" si="464"/>
        <v>n/a</v>
      </c>
      <c r="BU197" s="84" t="str">
        <f t="shared" si="464"/>
        <v>n/a</v>
      </c>
      <c r="BV197" s="84" t="str">
        <f t="shared" si="464"/>
        <v>n/a</v>
      </c>
      <c r="BW197" s="84" t="str">
        <f t="shared" si="464"/>
        <v>n/a</v>
      </c>
      <c r="BX197" s="84" t="str">
        <f t="shared" si="464"/>
        <v>n/a</v>
      </c>
      <c r="BY197" s="84" t="str">
        <f t="shared" si="464"/>
        <v>n/a</v>
      </c>
      <c r="BZ197" s="84" t="str">
        <f t="shared" si="464"/>
        <v>n/a</v>
      </c>
      <c r="CA197" s="84" t="str">
        <f t="shared" si="464"/>
        <v>n/a</v>
      </c>
      <c r="CB197" s="84" t="str">
        <f>+IFERROR(CB195+CB196,"n/a")</f>
        <v>n/a</v>
      </c>
      <c r="CC197" s="64">
        <f>SUM(CC195:CC196)</f>
        <v>70196</v>
      </c>
      <c r="CD197" s="64">
        <f>SUM(CD195:CD196)</f>
        <v>84826</v>
      </c>
      <c r="CE197" s="64">
        <f>SUM(CE195:CE196)</f>
        <v>115655</v>
      </c>
      <c r="CF197" s="80">
        <f>+SUM(AZ197:BC197)</f>
        <v>114450</v>
      </c>
      <c r="CG197" s="80">
        <f>+SUM(BD197:BG197)</f>
        <v>133005</v>
      </c>
      <c r="CH197" s="80"/>
      <c r="CI197" s="80"/>
    </row>
    <row r="198" spans="2:87" ht="13.5" x14ac:dyDescent="0.35">
      <c r="B198" t="s">
        <v>318</v>
      </c>
      <c r="D198" s="85" t="s">
        <v>127</v>
      </c>
      <c r="E198" s="85" t="s">
        <v>127</v>
      </c>
      <c r="F198" s="85" t="s">
        <v>127</v>
      </c>
      <c r="G198" s="85" t="s">
        <v>127</v>
      </c>
      <c r="H198" s="85" t="s">
        <v>127</v>
      </c>
      <c r="I198" s="85" t="s">
        <v>127</v>
      </c>
      <c r="J198" s="85" t="s">
        <v>127</v>
      </c>
      <c r="K198" s="85" t="s">
        <v>127</v>
      </c>
      <c r="L198" s="85" t="s">
        <v>127</v>
      </c>
      <c r="M198" s="85" t="s">
        <v>127</v>
      </c>
      <c r="N198" s="85" t="s">
        <v>127</v>
      </c>
      <c r="O198" s="85" t="s">
        <v>127</v>
      </c>
      <c r="P198" s="85" t="s">
        <v>127</v>
      </c>
      <c r="Q198" s="85" t="s">
        <v>127</v>
      </c>
      <c r="R198" s="85" t="s">
        <v>127</v>
      </c>
      <c r="S198" s="85" t="s">
        <v>127</v>
      </c>
      <c r="T198" s="85" t="s">
        <v>127</v>
      </c>
      <c r="U198" s="85" t="s">
        <v>127</v>
      </c>
      <c r="V198" s="85" t="s">
        <v>127</v>
      </c>
      <c r="W198" s="85" t="s">
        <v>127</v>
      </c>
      <c r="X198" s="85" t="s">
        <v>127</v>
      </c>
      <c r="Y198" s="85" t="s">
        <v>127</v>
      </c>
      <c r="Z198" s="85" t="s">
        <v>127</v>
      </c>
      <c r="AA198" s="85" t="s">
        <v>127</v>
      </c>
      <c r="AB198" s="85" t="s">
        <v>127</v>
      </c>
      <c r="AC198" s="85" t="s">
        <v>127</v>
      </c>
      <c r="AD198" s="85" t="s">
        <v>127</v>
      </c>
      <c r="AE198" s="85" t="s">
        <v>127</v>
      </c>
      <c r="AF198" s="85" t="s">
        <v>127</v>
      </c>
      <c r="AG198" s="85" t="s">
        <v>127</v>
      </c>
      <c r="AH198" s="85" t="s">
        <v>127</v>
      </c>
      <c r="AI198" s="85" t="s">
        <v>127</v>
      </c>
      <c r="AJ198" s="85" t="s">
        <v>127</v>
      </c>
      <c r="AK198" s="85" t="s">
        <v>127</v>
      </c>
      <c r="AL198" s="85" t="s">
        <v>127</v>
      </c>
      <c r="AM198" s="85" t="s">
        <v>127</v>
      </c>
      <c r="AN198" s="85" t="s">
        <v>127</v>
      </c>
      <c r="AO198" s="85" t="s">
        <v>127</v>
      </c>
      <c r="AP198" s="85" t="s">
        <v>127</v>
      </c>
      <c r="AQ198" s="85" t="s">
        <v>127</v>
      </c>
      <c r="AR198" s="85" t="s">
        <v>127</v>
      </c>
      <c r="AS198" s="85" t="s">
        <v>127</v>
      </c>
      <c r="AT198" s="85" t="s">
        <v>127</v>
      </c>
      <c r="AU198" s="82">
        <v>717</v>
      </c>
      <c r="AV198" s="82">
        <v>534</v>
      </c>
      <c r="AW198" s="82">
        <v>305</v>
      </c>
      <c r="AX198" s="82">
        <v>558</v>
      </c>
      <c r="AY198" s="82">
        <v>877</v>
      </c>
      <c r="AZ198" s="82">
        <v>695</v>
      </c>
      <c r="BA198" s="82">
        <v>452</v>
      </c>
      <c r="BB198" s="82">
        <v>285</v>
      </c>
      <c r="BC198" s="82">
        <v>727</v>
      </c>
      <c r="BD198" s="82">
        <v>339</v>
      </c>
      <c r="BE198" s="82">
        <v>276</v>
      </c>
      <c r="BF198" s="82">
        <v>210</v>
      </c>
      <c r="BG198" s="82">
        <v>1071</v>
      </c>
      <c r="BH198" s="82">
        <v>440</v>
      </c>
      <c r="BI198" s="82">
        <v>353</v>
      </c>
      <c r="BJ198" s="82">
        <v>270</v>
      </c>
      <c r="BK198" s="82"/>
      <c r="BL198" s="82"/>
      <c r="BM198" s="82"/>
      <c r="BN198" s="82"/>
      <c r="BO198" s="82"/>
      <c r="BQ198" s="85" t="s">
        <v>127</v>
      </c>
      <c r="BR198" s="85" t="s">
        <v>127</v>
      </c>
      <c r="BS198" s="85" t="s">
        <v>127</v>
      </c>
      <c r="BT198" s="85" t="s">
        <v>127</v>
      </c>
      <c r="BU198" s="85" t="s">
        <v>127</v>
      </c>
      <c r="BV198" s="85" t="s">
        <v>127</v>
      </c>
      <c r="BW198" s="85" t="s">
        <v>127</v>
      </c>
      <c r="BX198" s="85" t="s">
        <v>127</v>
      </c>
      <c r="BY198" s="85" t="s">
        <v>127</v>
      </c>
      <c r="BZ198" s="85" t="s">
        <v>127</v>
      </c>
      <c r="CA198" s="85" t="s">
        <v>127</v>
      </c>
      <c r="CB198" s="85" t="s">
        <v>127</v>
      </c>
      <c r="CC198" s="82">
        <v>501</v>
      </c>
      <c r="CD198" s="82">
        <v>1139</v>
      </c>
      <c r="CE198" s="82">
        <v>2274</v>
      </c>
      <c r="CF198" s="72">
        <f>+SUM(AZ198:BC198)</f>
        <v>2159</v>
      </c>
      <c r="CG198" s="72">
        <f>+SUM(BD198:BG198)</f>
        <v>1896</v>
      </c>
      <c r="CH198" s="72"/>
      <c r="CI198" s="72"/>
    </row>
    <row r="199" spans="2:87" s="44" customFormat="1" x14ac:dyDescent="0.2">
      <c r="B199" s="110" t="s">
        <v>248</v>
      </c>
      <c r="D199" s="212" t="str">
        <f>+IFERROR(D197+D198,"n/a")</f>
        <v>n/a</v>
      </c>
      <c r="E199" s="212" t="str">
        <f t="shared" ref="E199:AQ199" si="465">+IFERROR(E197+E198,"n/a")</f>
        <v>n/a</v>
      </c>
      <c r="F199" s="212" t="str">
        <f t="shared" si="465"/>
        <v>n/a</v>
      </c>
      <c r="G199" s="212" t="str">
        <f t="shared" si="465"/>
        <v>n/a</v>
      </c>
      <c r="H199" s="212" t="str">
        <f t="shared" si="465"/>
        <v>n/a</v>
      </c>
      <c r="I199" s="212" t="str">
        <f t="shared" si="465"/>
        <v>n/a</v>
      </c>
      <c r="J199" s="212" t="str">
        <f t="shared" si="465"/>
        <v>n/a</v>
      </c>
      <c r="K199" s="212" t="str">
        <f t="shared" si="465"/>
        <v>n/a</v>
      </c>
      <c r="L199" s="212" t="str">
        <f t="shared" si="465"/>
        <v>n/a</v>
      </c>
      <c r="M199" s="212" t="str">
        <f t="shared" si="465"/>
        <v>n/a</v>
      </c>
      <c r="N199" s="212" t="str">
        <f t="shared" si="465"/>
        <v>n/a</v>
      </c>
      <c r="O199" s="212" t="str">
        <f t="shared" si="465"/>
        <v>n/a</v>
      </c>
      <c r="P199" s="212" t="str">
        <f t="shared" si="465"/>
        <v>n/a</v>
      </c>
      <c r="Q199" s="212" t="str">
        <f t="shared" si="465"/>
        <v>n/a</v>
      </c>
      <c r="R199" s="212" t="str">
        <f t="shared" si="465"/>
        <v>n/a</v>
      </c>
      <c r="S199" s="212" t="str">
        <f t="shared" si="465"/>
        <v>n/a</v>
      </c>
      <c r="T199" s="212" t="str">
        <f t="shared" si="465"/>
        <v>n/a</v>
      </c>
      <c r="U199" s="212" t="str">
        <f t="shared" si="465"/>
        <v>n/a</v>
      </c>
      <c r="V199" s="212" t="str">
        <f t="shared" si="465"/>
        <v>n/a</v>
      </c>
      <c r="W199" s="212" t="str">
        <f t="shared" si="465"/>
        <v>n/a</v>
      </c>
      <c r="X199" s="212" t="str">
        <f t="shared" si="465"/>
        <v>n/a</v>
      </c>
      <c r="Y199" s="212" t="str">
        <f t="shared" si="465"/>
        <v>n/a</v>
      </c>
      <c r="Z199" s="212" t="str">
        <f t="shared" si="465"/>
        <v>n/a</v>
      </c>
      <c r="AA199" s="212" t="str">
        <f t="shared" si="465"/>
        <v>n/a</v>
      </c>
      <c r="AB199" s="212" t="str">
        <f t="shared" si="465"/>
        <v>n/a</v>
      </c>
      <c r="AC199" s="212" t="str">
        <f t="shared" si="465"/>
        <v>n/a</v>
      </c>
      <c r="AD199" s="212" t="str">
        <f t="shared" si="465"/>
        <v>n/a</v>
      </c>
      <c r="AE199" s="212" t="str">
        <f t="shared" si="465"/>
        <v>n/a</v>
      </c>
      <c r="AF199" s="212" t="str">
        <f t="shared" si="465"/>
        <v>n/a</v>
      </c>
      <c r="AG199" s="212" t="str">
        <f t="shared" si="465"/>
        <v>n/a</v>
      </c>
      <c r="AH199" s="212" t="str">
        <f t="shared" si="465"/>
        <v>n/a</v>
      </c>
      <c r="AI199" s="212" t="str">
        <f t="shared" si="465"/>
        <v>n/a</v>
      </c>
      <c r="AJ199" s="212" t="str">
        <f t="shared" si="465"/>
        <v>n/a</v>
      </c>
      <c r="AK199" s="212" t="str">
        <f t="shared" si="465"/>
        <v>n/a</v>
      </c>
      <c r="AL199" s="212" t="str">
        <f t="shared" si="465"/>
        <v>n/a</v>
      </c>
      <c r="AM199" s="212" t="str">
        <f t="shared" si="465"/>
        <v>n/a</v>
      </c>
      <c r="AN199" s="212" t="str">
        <f t="shared" si="465"/>
        <v>n/a</v>
      </c>
      <c r="AO199" s="212" t="str">
        <f t="shared" si="465"/>
        <v>n/a</v>
      </c>
      <c r="AP199" s="212" t="str">
        <f t="shared" si="465"/>
        <v>n/a</v>
      </c>
      <c r="AQ199" s="212" t="str">
        <f t="shared" si="465"/>
        <v>n/a</v>
      </c>
      <c r="AR199" s="212" t="str">
        <f>+IFERROR(AR197+AR198,"n/a")</f>
        <v>n/a</v>
      </c>
      <c r="AS199" s="212" t="str">
        <f>+IFERROR(AS197+AS198,"n/a")</f>
        <v>n/a</v>
      </c>
      <c r="AT199" s="212" t="str">
        <f>+IFERROR(AT197+AT198,"n/a")</f>
        <v>n/a</v>
      </c>
      <c r="AU199" s="111">
        <f t="shared" ref="AU199:BI199" si="466">+SUM(AU197:AU198)</f>
        <v>28072</v>
      </c>
      <c r="AV199" s="111">
        <f t="shared" si="466"/>
        <v>26171</v>
      </c>
      <c r="AW199" s="111">
        <f t="shared" si="466"/>
        <v>29077</v>
      </c>
      <c r="AX199" s="111">
        <f t="shared" si="466"/>
        <v>29010</v>
      </c>
      <c r="AY199" s="111">
        <f t="shared" si="466"/>
        <v>33671</v>
      </c>
      <c r="AZ199" s="111">
        <f t="shared" si="466"/>
        <v>27908</v>
      </c>
      <c r="BA199" s="111">
        <f t="shared" si="466"/>
        <v>28822</v>
      </c>
      <c r="BB199" s="111">
        <f t="shared" si="466"/>
        <v>27714</v>
      </c>
      <c r="BC199" s="111">
        <f t="shared" si="466"/>
        <v>32165</v>
      </c>
      <c r="BD199" s="111">
        <f t="shared" si="466"/>
        <v>28645</v>
      </c>
      <c r="BE199" s="111">
        <f t="shared" si="466"/>
        <v>31999</v>
      </c>
      <c r="BF199" s="111">
        <f t="shared" si="466"/>
        <v>34146</v>
      </c>
      <c r="BG199" s="111">
        <f t="shared" si="466"/>
        <v>40111</v>
      </c>
      <c r="BH199" s="111">
        <f t="shared" si="466"/>
        <v>36455</v>
      </c>
      <c r="BI199" s="111">
        <f t="shared" si="466"/>
        <v>39071</v>
      </c>
      <c r="BJ199" s="111">
        <f t="shared" ref="BJ199" si="467">+SUM(BJ197:BJ198)</f>
        <v>40589</v>
      </c>
      <c r="BK199" s="111"/>
      <c r="BL199" s="111"/>
      <c r="BM199" s="111"/>
      <c r="BN199" s="111"/>
      <c r="BO199" s="111"/>
      <c r="BQ199" s="212" t="str">
        <f>+IFERROR(BQ197+BQ198,"n/a")</f>
        <v>n/a</v>
      </c>
      <c r="BR199" s="212" t="str">
        <f t="shared" ref="BR199:CA199" si="468">+IFERROR(BR197+BR198,"n/a")</f>
        <v>n/a</v>
      </c>
      <c r="BS199" s="212" t="str">
        <f t="shared" si="468"/>
        <v>n/a</v>
      </c>
      <c r="BT199" s="212" t="str">
        <f t="shared" si="468"/>
        <v>n/a</v>
      </c>
      <c r="BU199" s="212" t="str">
        <f t="shared" si="468"/>
        <v>n/a</v>
      </c>
      <c r="BV199" s="212" t="str">
        <f t="shared" si="468"/>
        <v>n/a</v>
      </c>
      <c r="BW199" s="212" t="str">
        <f t="shared" si="468"/>
        <v>n/a</v>
      </c>
      <c r="BX199" s="212" t="str">
        <f t="shared" si="468"/>
        <v>n/a</v>
      </c>
      <c r="BY199" s="212" t="str">
        <f t="shared" si="468"/>
        <v>n/a</v>
      </c>
      <c r="BZ199" s="212" t="str">
        <f t="shared" si="468"/>
        <v>n/a</v>
      </c>
      <c r="CA199" s="212" t="str">
        <f t="shared" si="468"/>
        <v>n/a</v>
      </c>
      <c r="CB199" s="212" t="str">
        <f>+IFERROR(CB197+CB198,"n/a")</f>
        <v>n/a</v>
      </c>
      <c r="CC199" s="111">
        <f>+SUM(CC197:CC198)</f>
        <v>70697</v>
      </c>
      <c r="CD199" s="111">
        <f>+SUM(CD197:CD198)</f>
        <v>85965</v>
      </c>
      <c r="CE199" s="111">
        <f>+SUM(CE197:CE198)</f>
        <v>117929</v>
      </c>
      <c r="CF199" s="118">
        <f>+SUM(AZ199:BC199)</f>
        <v>116609</v>
      </c>
      <c r="CG199" s="118">
        <f>+SUM(BD199:BG199)</f>
        <v>134901</v>
      </c>
      <c r="CH199" s="118"/>
      <c r="CI199" s="118"/>
    </row>
    <row r="200" spans="2:87" x14ac:dyDescent="0.2">
      <c r="B200" s="70"/>
      <c r="H200" s="49"/>
      <c r="I200" s="49"/>
      <c r="J200" s="49"/>
      <c r="K200" s="49"/>
      <c r="L200" s="49"/>
      <c r="AB200" s="49"/>
      <c r="AC200" s="49"/>
      <c r="AD200" s="49"/>
      <c r="BU200" s="49"/>
      <c r="CF200" s="180"/>
      <c r="CG200" s="180"/>
      <c r="CH200" s="180"/>
      <c r="CI200" s="180"/>
    </row>
    <row r="201" spans="2:87" x14ac:dyDescent="0.2">
      <c r="B201" s="62" t="s">
        <v>17</v>
      </c>
      <c r="H201" s="49"/>
      <c r="I201" s="49"/>
      <c r="J201" s="49"/>
      <c r="K201" s="49"/>
      <c r="L201" s="49"/>
      <c r="AB201" s="49"/>
      <c r="AC201" s="49"/>
      <c r="AD201" s="49"/>
      <c r="BU201" s="49"/>
      <c r="CF201" s="180"/>
      <c r="CG201" s="180"/>
      <c r="CH201" s="180"/>
      <c r="CI201" s="180"/>
    </row>
    <row r="202" spans="2:87" x14ac:dyDescent="0.2">
      <c r="B202" s="60" t="s">
        <v>212</v>
      </c>
      <c r="H202" s="164" t="str">
        <f t="shared" ref="H202:Q206" si="469">+IFERROR(H195/D195-1,"n/a")</f>
        <v>n/a</v>
      </c>
      <c r="I202" s="164" t="str">
        <f t="shared" si="469"/>
        <v>n/a</v>
      </c>
      <c r="J202" s="164" t="str">
        <f t="shared" si="469"/>
        <v>n/a</v>
      </c>
      <c r="K202" s="164" t="str">
        <f t="shared" si="469"/>
        <v>n/a</v>
      </c>
      <c r="L202" s="164" t="str">
        <f t="shared" si="469"/>
        <v>n/a</v>
      </c>
      <c r="M202" s="164" t="str">
        <f t="shared" si="469"/>
        <v>n/a</v>
      </c>
      <c r="N202" s="164" t="str">
        <f t="shared" si="469"/>
        <v>n/a</v>
      </c>
      <c r="O202" s="164" t="str">
        <f t="shared" si="469"/>
        <v>n/a</v>
      </c>
      <c r="P202" s="164" t="str">
        <f t="shared" si="469"/>
        <v>n/a</v>
      </c>
      <c r="Q202" s="164" t="str">
        <f t="shared" si="469"/>
        <v>n/a</v>
      </c>
      <c r="R202" s="164" t="str">
        <f t="shared" ref="R202:AA206" si="470">+IFERROR(R195/N195-1,"n/a")</f>
        <v>n/a</v>
      </c>
      <c r="S202" s="164" t="str">
        <f t="shared" si="470"/>
        <v>n/a</v>
      </c>
      <c r="T202" s="164" t="str">
        <f t="shared" si="470"/>
        <v>n/a</v>
      </c>
      <c r="U202" s="164" t="str">
        <f t="shared" si="470"/>
        <v>n/a</v>
      </c>
      <c r="V202" s="164" t="str">
        <f t="shared" si="470"/>
        <v>n/a</v>
      </c>
      <c r="W202" s="164" t="str">
        <f t="shared" si="470"/>
        <v>n/a</v>
      </c>
      <c r="X202" s="164" t="str">
        <f t="shared" si="470"/>
        <v>n/a</v>
      </c>
      <c r="Y202" s="164" t="str">
        <f t="shared" si="470"/>
        <v>n/a</v>
      </c>
      <c r="Z202" s="164" t="str">
        <f t="shared" si="470"/>
        <v>n/a</v>
      </c>
      <c r="AA202" s="164" t="str">
        <f t="shared" si="470"/>
        <v>n/a</v>
      </c>
      <c r="AB202" s="164" t="str">
        <f t="shared" ref="AB202:AK206" si="471">+IFERROR(AB195/X195-1,"n/a")</f>
        <v>n/a</v>
      </c>
      <c r="AC202" s="164" t="str">
        <f t="shared" si="471"/>
        <v>n/a</v>
      </c>
      <c r="AD202" s="164" t="str">
        <f t="shared" si="471"/>
        <v>n/a</v>
      </c>
      <c r="AE202" s="164" t="str">
        <f t="shared" si="471"/>
        <v>n/a</v>
      </c>
      <c r="AF202" s="164" t="str">
        <f t="shared" si="471"/>
        <v>n/a</v>
      </c>
      <c r="AG202" s="164" t="str">
        <f t="shared" si="471"/>
        <v>n/a</v>
      </c>
      <c r="AH202" s="164" t="str">
        <f t="shared" si="471"/>
        <v>n/a</v>
      </c>
      <c r="AI202" s="164" t="str">
        <f t="shared" si="471"/>
        <v>n/a</v>
      </c>
      <c r="AJ202" s="164" t="str">
        <f t="shared" si="471"/>
        <v>n/a</v>
      </c>
      <c r="AK202" s="164" t="str">
        <f t="shared" si="471"/>
        <v>n/a</v>
      </c>
      <c r="AL202" s="164" t="str">
        <f t="shared" ref="AL202:AU206" si="472">+IFERROR(AL195/AH195-1,"n/a")</f>
        <v>n/a</v>
      </c>
      <c r="AM202" s="164" t="str">
        <f t="shared" si="472"/>
        <v>n/a</v>
      </c>
      <c r="AN202" s="164" t="str">
        <f t="shared" si="472"/>
        <v>n/a</v>
      </c>
      <c r="AO202" s="164" t="str">
        <f t="shared" si="472"/>
        <v>n/a</v>
      </c>
      <c r="AP202" s="164" t="str">
        <f t="shared" si="472"/>
        <v>n/a</v>
      </c>
      <c r="AQ202" s="164" t="str">
        <f t="shared" si="472"/>
        <v>n/a</v>
      </c>
      <c r="AR202" s="164" t="str">
        <f t="shared" si="472"/>
        <v>n/a</v>
      </c>
      <c r="AS202" s="164" t="str">
        <f t="shared" si="472"/>
        <v>n/a</v>
      </c>
      <c r="AT202" s="164" t="str">
        <f t="shared" si="472"/>
        <v>n/a</v>
      </c>
      <c r="AU202" s="164" t="str">
        <f t="shared" si="472"/>
        <v>n/a</v>
      </c>
      <c r="AV202" s="164" t="str">
        <f t="shared" ref="AV202:AX206" si="473">+IFERROR(AV195/AR195-1,"n/a")</f>
        <v>n/a</v>
      </c>
      <c r="AW202" s="164" t="str">
        <f t="shared" si="473"/>
        <v>n/a</v>
      </c>
      <c r="AX202" s="164" t="str">
        <f t="shared" si="473"/>
        <v>n/a</v>
      </c>
      <c r="AY202" s="106">
        <f t="shared" ref="AY202:BJ202" si="474">+IFERROR(AY195/AU195-1,"n/a")</f>
        <v>0.200537021370508</v>
      </c>
      <c r="AZ202" s="106">
        <f t="shared" si="474"/>
        <v>6.1283855497464623E-2</v>
      </c>
      <c r="BA202" s="106">
        <f t="shared" si="474"/>
        <v>-1.4975507347795625E-2</v>
      </c>
      <c r="BB202" s="106">
        <f t="shared" si="474"/>
        <v>-3.674494270759654E-2</v>
      </c>
      <c r="BC202" s="106">
        <f t="shared" si="474"/>
        <v>-4.2433898097368195E-2</v>
      </c>
      <c r="BD202" s="106">
        <f t="shared" si="474"/>
        <v>4.0854878139121364E-2</v>
      </c>
      <c r="BE202" s="106">
        <f t="shared" si="474"/>
        <v>0.11885478829212848</v>
      </c>
      <c r="BF202" s="106">
        <f t="shared" si="474"/>
        <v>0.23519477181774784</v>
      </c>
      <c r="BG202" s="106">
        <f t="shared" si="474"/>
        <v>0.23843348051449409</v>
      </c>
      <c r="BH202" s="106">
        <f t="shared" si="474"/>
        <v>0.26810433792391719</v>
      </c>
      <c r="BI202" s="106">
        <f t="shared" si="474"/>
        <v>0.21687091243888501</v>
      </c>
      <c r="BJ202" s="106">
        <f t="shared" si="474"/>
        <v>0.18553636714918409</v>
      </c>
      <c r="BK202" s="106"/>
      <c r="BL202" s="106"/>
      <c r="BM202" s="106"/>
      <c r="BN202" s="106"/>
      <c r="BO202" s="106"/>
      <c r="BR202" s="164" t="str">
        <f>+IFERROR(BR195/BQ195-1,"n/a")</f>
        <v>n/a</v>
      </c>
      <c r="BS202" s="164" t="str">
        <f t="shared" ref="BS202:CC206" si="475">+IFERROR(BS195/BR195-1,"n/a")</f>
        <v>n/a</v>
      </c>
      <c r="BT202" s="164" t="str">
        <f t="shared" si="475"/>
        <v>n/a</v>
      </c>
      <c r="BU202" s="164" t="str">
        <f t="shared" si="475"/>
        <v>n/a</v>
      </c>
      <c r="BV202" s="164" t="str">
        <f t="shared" si="475"/>
        <v>n/a</v>
      </c>
      <c r="BW202" s="164" t="str">
        <f t="shared" si="475"/>
        <v>n/a</v>
      </c>
      <c r="BX202" s="164" t="str">
        <f t="shared" si="475"/>
        <v>n/a</v>
      </c>
      <c r="BY202" s="164" t="str">
        <f t="shared" si="475"/>
        <v>n/a</v>
      </c>
      <c r="BZ202" s="164" t="str">
        <f t="shared" si="475"/>
        <v>n/a</v>
      </c>
      <c r="CA202" s="164" t="str">
        <f t="shared" si="475"/>
        <v>n/a</v>
      </c>
      <c r="CB202" s="164" t="str">
        <f t="shared" si="475"/>
        <v>n/a</v>
      </c>
      <c r="CC202" s="164" t="str">
        <f t="shared" si="475"/>
        <v>n/a</v>
      </c>
      <c r="CD202" s="106">
        <f>+IFERROR(CD195/CC195-1,"n/a")</f>
        <v>0.20836982269758098</v>
      </c>
      <c r="CE202" s="106">
        <f>+IFERROR(CE195/CD195-1,"n/a")</f>
        <v>0.36551461939669005</v>
      </c>
      <c r="CF202" s="106">
        <f>+IFERROR(CF195/CE195-1,"n/a")</f>
        <v>-1.1249934745158119E-2</v>
      </c>
      <c r="CG202" s="106">
        <f>+IFERROR(CG195/CF195-1,"n/a")</f>
        <v>0.16109502732288528</v>
      </c>
      <c r="CH202" s="106"/>
      <c r="CI202" s="106"/>
    </row>
    <row r="203" spans="2:87" ht="13.5" x14ac:dyDescent="0.35">
      <c r="B203" s="60" t="s">
        <v>316</v>
      </c>
      <c r="H203" s="134" t="str">
        <f t="shared" si="469"/>
        <v>n/a</v>
      </c>
      <c r="I203" s="134" t="str">
        <f t="shared" si="469"/>
        <v>n/a</v>
      </c>
      <c r="J203" s="134" t="str">
        <f t="shared" si="469"/>
        <v>n/a</v>
      </c>
      <c r="K203" s="134" t="str">
        <f t="shared" si="469"/>
        <v>n/a</v>
      </c>
      <c r="L203" s="134" t="str">
        <f t="shared" si="469"/>
        <v>n/a</v>
      </c>
      <c r="M203" s="134" t="str">
        <f t="shared" si="469"/>
        <v>n/a</v>
      </c>
      <c r="N203" s="134" t="str">
        <f t="shared" si="469"/>
        <v>n/a</v>
      </c>
      <c r="O203" s="134" t="str">
        <f t="shared" si="469"/>
        <v>n/a</v>
      </c>
      <c r="P203" s="134" t="str">
        <f t="shared" si="469"/>
        <v>n/a</v>
      </c>
      <c r="Q203" s="134" t="str">
        <f t="shared" si="469"/>
        <v>n/a</v>
      </c>
      <c r="R203" s="134" t="str">
        <f t="shared" si="470"/>
        <v>n/a</v>
      </c>
      <c r="S203" s="134" t="str">
        <f t="shared" si="470"/>
        <v>n/a</v>
      </c>
      <c r="T203" s="134" t="str">
        <f t="shared" si="470"/>
        <v>n/a</v>
      </c>
      <c r="U203" s="134" t="str">
        <f t="shared" si="470"/>
        <v>n/a</v>
      </c>
      <c r="V203" s="134" t="str">
        <f t="shared" si="470"/>
        <v>n/a</v>
      </c>
      <c r="W203" s="134" t="str">
        <f t="shared" si="470"/>
        <v>n/a</v>
      </c>
      <c r="X203" s="134" t="str">
        <f t="shared" si="470"/>
        <v>n/a</v>
      </c>
      <c r="Y203" s="134" t="str">
        <f t="shared" si="470"/>
        <v>n/a</v>
      </c>
      <c r="Z203" s="134" t="str">
        <f t="shared" si="470"/>
        <v>n/a</v>
      </c>
      <c r="AA203" s="134" t="str">
        <f t="shared" si="470"/>
        <v>n/a</v>
      </c>
      <c r="AB203" s="134" t="str">
        <f t="shared" si="471"/>
        <v>n/a</v>
      </c>
      <c r="AC203" s="134" t="str">
        <f t="shared" si="471"/>
        <v>n/a</v>
      </c>
      <c r="AD203" s="134" t="str">
        <f t="shared" si="471"/>
        <v>n/a</v>
      </c>
      <c r="AE203" s="134" t="str">
        <f t="shared" si="471"/>
        <v>n/a</v>
      </c>
      <c r="AF203" s="134" t="str">
        <f t="shared" si="471"/>
        <v>n/a</v>
      </c>
      <c r="AG203" s="134" t="str">
        <f t="shared" si="471"/>
        <v>n/a</v>
      </c>
      <c r="AH203" s="134" t="str">
        <f t="shared" si="471"/>
        <v>n/a</v>
      </c>
      <c r="AI203" s="134" t="str">
        <f t="shared" si="471"/>
        <v>n/a</v>
      </c>
      <c r="AJ203" s="134" t="str">
        <f t="shared" si="471"/>
        <v>n/a</v>
      </c>
      <c r="AK203" s="134" t="str">
        <f t="shared" si="471"/>
        <v>n/a</v>
      </c>
      <c r="AL203" s="134" t="str">
        <f t="shared" si="472"/>
        <v>n/a</v>
      </c>
      <c r="AM203" s="134" t="str">
        <f t="shared" si="472"/>
        <v>n/a</v>
      </c>
      <c r="AN203" s="134" t="str">
        <f t="shared" si="472"/>
        <v>n/a</v>
      </c>
      <c r="AO203" s="134" t="str">
        <f t="shared" si="472"/>
        <v>n/a</v>
      </c>
      <c r="AP203" s="134" t="str">
        <f t="shared" si="472"/>
        <v>n/a</v>
      </c>
      <c r="AQ203" s="134" t="str">
        <f t="shared" si="472"/>
        <v>n/a</v>
      </c>
      <c r="AR203" s="134" t="str">
        <f t="shared" si="472"/>
        <v>n/a</v>
      </c>
      <c r="AS203" s="134" t="str">
        <f t="shared" si="472"/>
        <v>n/a</v>
      </c>
      <c r="AT203" s="134" t="str">
        <f t="shared" si="472"/>
        <v>n/a</v>
      </c>
      <c r="AU203" s="134" t="str">
        <f t="shared" si="472"/>
        <v>n/a</v>
      </c>
      <c r="AV203" s="134" t="str">
        <f t="shared" si="473"/>
        <v>n/a</v>
      </c>
      <c r="AW203" s="134" t="str">
        <f t="shared" si="473"/>
        <v>n/a</v>
      </c>
      <c r="AX203" s="134" t="str">
        <f t="shared" si="473"/>
        <v>n/a</v>
      </c>
      <c r="AY203" s="108">
        <f t="shared" ref="AY203:BJ206" si="476">+IFERROR(AY196/AU196-1,"n/a")</f>
        <v>-7.7380952380952328E-2</v>
      </c>
      <c r="AZ203" s="108">
        <f t="shared" si="476"/>
        <v>8.5858585858585856E-2</v>
      </c>
      <c r="BA203" s="108">
        <f t="shared" si="476"/>
        <v>0.13541666666666674</v>
      </c>
      <c r="BB203" s="108">
        <f t="shared" si="476"/>
        <v>9.0909090909090828E-2</v>
      </c>
      <c r="BC203" s="108">
        <f t="shared" si="476"/>
        <v>0.18709677419354831</v>
      </c>
      <c r="BD203" s="108">
        <f t="shared" si="476"/>
        <v>-4.6511627906976716E-2</v>
      </c>
      <c r="BE203" s="108">
        <f t="shared" si="476"/>
        <v>3.2110091743119185E-2</v>
      </c>
      <c r="BF203" s="108">
        <f t="shared" si="476"/>
        <v>0.52604166666666674</v>
      </c>
      <c r="BG203" s="108">
        <f t="shared" si="476"/>
        <v>0.81521739130434789</v>
      </c>
      <c r="BH203" s="108">
        <f t="shared" si="476"/>
        <v>0.85365853658536595</v>
      </c>
      <c r="BI203" s="108">
        <f t="shared" si="476"/>
        <v>0.72888888888888892</v>
      </c>
      <c r="BJ203" s="108">
        <f t="shared" si="476"/>
        <v>0.48122866894197958</v>
      </c>
      <c r="BK203" s="108"/>
      <c r="BL203" s="108"/>
      <c r="BM203" s="108"/>
      <c r="BN203" s="108"/>
      <c r="BO203" s="108"/>
      <c r="BR203" s="134" t="str">
        <f>+IFERROR(BR196/BQ196-1,"n/a")</f>
        <v>n/a</v>
      </c>
      <c r="BS203" s="134" t="str">
        <f t="shared" si="475"/>
        <v>n/a</v>
      </c>
      <c r="BT203" s="134" t="str">
        <f t="shared" si="475"/>
        <v>n/a</v>
      </c>
      <c r="BU203" s="134" t="str">
        <f t="shared" si="475"/>
        <v>n/a</v>
      </c>
      <c r="BV203" s="134" t="str">
        <f t="shared" si="475"/>
        <v>n/a</v>
      </c>
      <c r="BW203" s="134" t="str">
        <f t="shared" si="475"/>
        <v>n/a</v>
      </c>
      <c r="BX203" s="134" t="str">
        <f t="shared" si="475"/>
        <v>n/a</v>
      </c>
      <c r="BY203" s="134" t="str">
        <f t="shared" si="475"/>
        <v>n/a</v>
      </c>
      <c r="BZ203" s="134" t="str">
        <f t="shared" si="475"/>
        <v>n/a</v>
      </c>
      <c r="CA203" s="134" t="str">
        <f t="shared" si="475"/>
        <v>n/a</v>
      </c>
      <c r="CB203" s="134" t="str">
        <f t="shared" si="475"/>
        <v>n/a</v>
      </c>
      <c r="CC203" s="134" t="str">
        <f t="shared" si="475"/>
        <v>n/a</v>
      </c>
      <c r="CD203" s="108">
        <f t="shared" ref="CD203:CG206" si="477">+IFERROR(CD196/CC196-1,"n/a")</f>
        <v>0.21441774491682075</v>
      </c>
      <c r="CE203" s="108">
        <f t="shared" si="477"/>
        <v>9.7412480974124804E-2</v>
      </c>
      <c r="CF203" s="108">
        <f t="shared" si="477"/>
        <v>0.12205270457697637</v>
      </c>
      <c r="CG203" s="108">
        <f t="shared" si="477"/>
        <v>0.30655129789864022</v>
      </c>
      <c r="CH203" s="108"/>
      <c r="CI203" s="108"/>
    </row>
    <row r="204" spans="2:87" x14ac:dyDescent="0.2">
      <c r="B204" s="101" t="s">
        <v>317</v>
      </c>
      <c r="H204" s="164" t="str">
        <f t="shared" si="469"/>
        <v>n/a</v>
      </c>
      <c r="I204" s="164" t="str">
        <f t="shared" si="469"/>
        <v>n/a</v>
      </c>
      <c r="J204" s="164" t="str">
        <f t="shared" si="469"/>
        <v>n/a</v>
      </c>
      <c r="K204" s="164" t="str">
        <f t="shared" si="469"/>
        <v>n/a</v>
      </c>
      <c r="L204" s="164" t="str">
        <f t="shared" si="469"/>
        <v>n/a</v>
      </c>
      <c r="M204" s="164" t="str">
        <f t="shared" si="469"/>
        <v>n/a</v>
      </c>
      <c r="N204" s="164" t="str">
        <f t="shared" si="469"/>
        <v>n/a</v>
      </c>
      <c r="O204" s="164" t="str">
        <f t="shared" si="469"/>
        <v>n/a</v>
      </c>
      <c r="P204" s="164" t="str">
        <f t="shared" si="469"/>
        <v>n/a</v>
      </c>
      <c r="Q204" s="164" t="str">
        <f t="shared" si="469"/>
        <v>n/a</v>
      </c>
      <c r="R204" s="164" t="str">
        <f t="shared" si="470"/>
        <v>n/a</v>
      </c>
      <c r="S204" s="164" t="str">
        <f t="shared" si="470"/>
        <v>n/a</v>
      </c>
      <c r="T204" s="164" t="str">
        <f t="shared" si="470"/>
        <v>n/a</v>
      </c>
      <c r="U204" s="164" t="str">
        <f t="shared" si="470"/>
        <v>n/a</v>
      </c>
      <c r="V204" s="164" t="str">
        <f t="shared" si="470"/>
        <v>n/a</v>
      </c>
      <c r="W204" s="164" t="str">
        <f t="shared" si="470"/>
        <v>n/a</v>
      </c>
      <c r="X204" s="164" t="str">
        <f t="shared" si="470"/>
        <v>n/a</v>
      </c>
      <c r="Y204" s="164" t="str">
        <f t="shared" si="470"/>
        <v>n/a</v>
      </c>
      <c r="Z204" s="164" t="str">
        <f t="shared" si="470"/>
        <v>n/a</v>
      </c>
      <c r="AA204" s="164" t="str">
        <f t="shared" si="470"/>
        <v>n/a</v>
      </c>
      <c r="AB204" s="164" t="str">
        <f t="shared" si="471"/>
        <v>n/a</v>
      </c>
      <c r="AC204" s="164" t="str">
        <f t="shared" si="471"/>
        <v>n/a</v>
      </c>
      <c r="AD204" s="164" t="str">
        <f t="shared" si="471"/>
        <v>n/a</v>
      </c>
      <c r="AE204" s="164" t="str">
        <f t="shared" si="471"/>
        <v>n/a</v>
      </c>
      <c r="AF204" s="164" t="str">
        <f t="shared" si="471"/>
        <v>n/a</v>
      </c>
      <c r="AG204" s="164" t="str">
        <f t="shared" si="471"/>
        <v>n/a</v>
      </c>
      <c r="AH204" s="164" t="str">
        <f t="shared" si="471"/>
        <v>n/a</v>
      </c>
      <c r="AI204" s="164" t="str">
        <f t="shared" si="471"/>
        <v>n/a</v>
      </c>
      <c r="AJ204" s="164" t="str">
        <f t="shared" si="471"/>
        <v>n/a</v>
      </c>
      <c r="AK204" s="164" t="str">
        <f t="shared" si="471"/>
        <v>n/a</v>
      </c>
      <c r="AL204" s="164" t="str">
        <f t="shared" si="472"/>
        <v>n/a</v>
      </c>
      <c r="AM204" s="164" t="str">
        <f t="shared" si="472"/>
        <v>n/a</v>
      </c>
      <c r="AN204" s="164" t="str">
        <f t="shared" si="472"/>
        <v>n/a</v>
      </c>
      <c r="AO204" s="164" t="str">
        <f t="shared" si="472"/>
        <v>n/a</v>
      </c>
      <c r="AP204" s="164" t="str">
        <f t="shared" si="472"/>
        <v>n/a</v>
      </c>
      <c r="AQ204" s="164" t="str">
        <f t="shared" si="472"/>
        <v>n/a</v>
      </c>
      <c r="AR204" s="164" t="str">
        <f t="shared" si="472"/>
        <v>n/a</v>
      </c>
      <c r="AS204" s="164" t="str">
        <f t="shared" si="472"/>
        <v>n/a</v>
      </c>
      <c r="AT204" s="164" t="str">
        <f t="shared" si="472"/>
        <v>n/a</v>
      </c>
      <c r="AU204" s="164" t="str">
        <f t="shared" si="472"/>
        <v>n/a</v>
      </c>
      <c r="AV204" s="164" t="str">
        <f t="shared" si="473"/>
        <v>n/a</v>
      </c>
      <c r="AW204" s="164" t="str">
        <f t="shared" si="473"/>
        <v>n/a</v>
      </c>
      <c r="AX204" s="164" t="str">
        <f t="shared" si="473"/>
        <v>n/a</v>
      </c>
      <c r="AY204" s="106">
        <f t="shared" si="476"/>
        <v>0.19883019557667692</v>
      </c>
      <c r="AZ204" s="106">
        <f t="shared" si="476"/>
        <v>6.1473651363264104E-2</v>
      </c>
      <c r="BA204" s="106">
        <f t="shared" si="476"/>
        <v>-1.3971917141665458E-2</v>
      </c>
      <c r="BB204" s="106">
        <f t="shared" si="476"/>
        <v>-3.5955293125263577E-2</v>
      </c>
      <c r="BC204" s="106">
        <f t="shared" si="476"/>
        <v>-4.1349027261084359E-2</v>
      </c>
      <c r="BD204" s="106">
        <f t="shared" si="476"/>
        <v>4.016462720023517E-2</v>
      </c>
      <c r="BE204" s="106">
        <f t="shared" si="476"/>
        <v>0.11818822700035247</v>
      </c>
      <c r="BF204" s="106">
        <f t="shared" si="476"/>
        <v>0.2372306682708083</v>
      </c>
      <c r="BG204" s="106">
        <f t="shared" si="476"/>
        <v>0.2418092753991985</v>
      </c>
      <c r="BH204" s="106">
        <f t="shared" si="476"/>
        <v>0.27234508584752359</v>
      </c>
      <c r="BI204" s="106">
        <f t="shared" si="476"/>
        <v>0.2205024745452826</v>
      </c>
      <c r="BJ204" s="106">
        <f t="shared" si="476"/>
        <v>0.1880893446487506</v>
      </c>
      <c r="BK204" s="106"/>
      <c r="BL204" s="106"/>
      <c r="BM204" s="106"/>
      <c r="BN204" s="106"/>
      <c r="BO204" s="106"/>
      <c r="BR204" s="164" t="str">
        <f>+IFERROR(BR197/BQ197-1,"n/a")</f>
        <v>n/a</v>
      </c>
      <c r="BS204" s="164" t="str">
        <f t="shared" si="475"/>
        <v>n/a</v>
      </c>
      <c r="BT204" s="164" t="str">
        <f t="shared" si="475"/>
        <v>n/a</v>
      </c>
      <c r="BU204" s="164" t="str">
        <f t="shared" si="475"/>
        <v>n/a</v>
      </c>
      <c r="BV204" s="164" t="str">
        <f t="shared" si="475"/>
        <v>n/a</v>
      </c>
      <c r="BW204" s="164" t="str">
        <f t="shared" si="475"/>
        <v>n/a</v>
      </c>
      <c r="BX204" s="164" t="str">
        <f t="shared" si="475"/>
        <v>n/a</v>
      </c>
      <c r="BY204" s="164" t="str">
        <f t="shared" si="475"/>
        <v>n/a</v>
      </c>
      <c r="BZ204" s="164" t="str">
        <f t="shared" si="475"/>
        <v>n/a</v>
      </c>
      <c r="CA204" s="164" t="str">
        <f t="shared" si="475"/>
        <v>n/a</v>
      </c>
      <c r="CB204" s="164" t="str">
        <f t="shared" si="475"/>
        <v>n/a</v>
      </c>
      <c r="CC204" s="164" t="str">
        <f t="shared" si="475"/>
        <v>n/a</v>
      </c>
      <c r="CD204" s="106">
        <f t="shared" si="477"/>
        <v>0.20841643398484244</v>
      </c>
      <c r="CE204" s="106">
        <f t="shared" si="477"/>
        <v>0.36343809680994044</v>
      </c>
      <c r="CF204" s="106">
        <f t="shared" si="477"/>
        <v>-1.0418918334702321E-2</v>
      </c>
      <c r="CG204" s="106">
        <f t="shared" si="477"/>
        <v>0.16212319790301444</v>
      </c>
      <c r="CH204" s="106"/>
      <c r="CI204" s="106"/>
    </row>
    <row r="205" spans="2:87" ht="13.5" x14ac:dyDescent="0.35">
      <c r="B205" s="60" t="s">
        <v>318</v>
      </c>
      <c r="H205" s="134" t="str">
        <f t="shared" si="469"/>
        <v>n/a</v>
      </c>
      <c r="I205" s="134" t="str">
        <f t="shared" si="469"/>
        <v>n/a</v>
      </c>
      <c r="J205" s="134" t="str">
        <f t="shared" si="469"/>
        <v>n/a</v>
      </c>
      <c r="K205" s="134" t="str">
        <f t="shared" si="469"/>
        <v>n/a</v>
      </c>
      <c r="L205" s="134" t="str">
        <f t="shared" si="469"/>
        <v>n/a</v>
      </c>
      <c r="M205" s="134" t="str">
        <f t="shared" si="469"/>
        <v>n/a</v>
      </c>
      <c r="N205" s="134" t="str">
        <f t="shared" si="469"/>
        <v>n/a</v>
      </c>
      <c r="O205" s="134" t="str">
        <f t="shared" si="469"/>
        <v>n/a</v>
      </c>
      <c r="P205" s="134" t="str">
        <f t="shared" si="469"/>
        <v>n/a</v>
      </c>
      <c r="Q205" s="134" t="str">
        <f t="shared" si="469"/>
        <v>n/a</v>
      </c>
      <c r="R205" s="134" t="str">
        <f t="shared" si="470"/>
        <v>n/a</v>
      </c>
      <c r="S205" s="134" t="str">
        <f t="shared" si="470"/>
        <v>n/a</v>
      </c>
      <c r="T205" s="134" t="str">
        <f t="shared" si="470"/>
        <v>n/a</v>
      </c>
      <c r="U205" s="134" t="str">
        <f t="shared" si="470"/>
        <v>n/a</v>
      </c>
      <c r="V205" s="134" t="str">
        <f t="shared" si="470"/>
        <v>n/a</v>
      </c>
      <c r="W205" s="134" t="str">
        <f t="shared" si="470"/>
        <v>n/a</v>
      </c>
      <c r="X205" s="134" t="str">
        <f t="shared" si="470"/>
        <v>n/a</v>
      </c>
      <c r="Y205" s="134" t="str">
        <f t="shared" si="470"/>
        <v>n/a</v>
      </c>
      <c r="Z205" s="134" t="str">
        <f t="shared" si="470"/>
        <v>n/a</v>
      </c>
      <c r="AA205" s="134" t="str">
        <f t="shared" si="470"/>
        <v>n/a</v>
      </c>
      <c r="AB205" s="134" t="str">
        <f t="shared" si="471"/>
        <v>n/a</v>
      </c>
      <c r="AC205" s="134" t="str">
        <f t="shared" si="471"/>
        <v>n/a</v>
      </c>
      <c r="AD205" s="134" t="str">
        <f t="shared" si="471"/>
        <v>n/a</v>
      </c>
      <c r="AE205" s="134" t="str">
        <f t="shared" si="471"/>
        <v>n/a</v>
      </c>
      <c r="AF205" s="134" t="str">
        <f t="shared" si="471"/>
        <v>n/a</v>
      </c>
      <c r="AG205" s="134" t="str">
        <f t="shared" si="471"/>
        <v>n/a</v>
      </c>
      <c r="AH205" s="134" t="str">
        <f t="shared" si="471"/>
        <v>n/a</v>
      </c>
      <c r="AI205" s="134" t="str">
        <f t="shared" si="471"/>
        <v>n/a</v>
      </c>
      <c r="AJ205" s="134" t="str">
        <f t="shared" si="471"/>
        <v>n/a</v>
      </c>
      <c r="AK205" s="134" t="str">
        <f t="shared" si="471"/>
        <v>n/a</v>
      </c>
      <c r="AL205" s="134" t="str">
        <f t="shared" si="472"/>
        <v>n/a</v>
      </c>
      <c r="AM205" s="134" t="str">
        <f t="shared" si="472"/>
        <v>n/a</v>
      </c>
      <c r="AN205" s="134" t="str">
        <f t="shared" si="472"/>
        <v>n/a</v>
      </c>
      <c r="AO205" s="134" t="str">
        <f t="shared" si="472"/>
        <v>n/a</v>
      </c>
      <c r="AP205" s="134" t="str">
        <f t="shared" si="472"/>
        <v>n/a</v>
      </c>
      <c r="AQ205" s="134" t="str">
        <f t="shared" si="472"/>
        <v>n/a</v>
      </c>
      <c r="AR205" s="134" t="str">
        <f t="shared" si="472"/>
        <v>n/a</v>
      </c>
      <c r="AS205" s="134" t="str">
        <f t="shared" si="472"/>
        <v>n/a</v>
      </c>
      <c r="AT205" s="134" t="str">
        <f t="shared" si="472"/>
        <v>n/a</v>
      </c>
      <c r="AU205" s="134" t="str">
        <f t="shared" si="472"/>
        <v>n/a</v>
      </c>
      <c r="AV205" s="134" t="str">
        <f t="shared" si="473"/>
        <v>n/a</v>
      </c>
      <c r="AW205" s="134" t="str">
        <f t="shared" si="473"/>
        <v>n/a</v>
      </c>
      <c r="AX205" s="134" t="str">
        <f t="shared" si="473"/>
        <v>n/a</v>
      </c>
      <c r="AY205" s="108">
        <f t="shared" si="476"/>
        <v>0.22315202231520215</v>
      </c>
      <c r="AZ205" s="108">
        <f t="shared" si="476"/>
        <v>0.30149812734082393</v>
      </c>
      <c r="BA205" s="108">
        <f t="shared" si="476"/>
        <v>0.4819672131147541</v>
      </c>
      <c r="BB205" s="108">
        <f t="shared" si="476"/>
        <v>-0.489247311827957</v>
      </c>
      <c r="BC205" s="108">
        <f t="shared" si="476"/>
        <v>-0.17103762827822122</v>
      </c>
      <c r="BD205" s="108">
        <f t="shared" si="476"/>
        <v>-0.51223021582733819</v>
      </c>
      <c r="BE205" s="108">
        <f t="shared" si="476"/>
        <v>-0.38938053097345138</v>
      </c>
      <c r="BF205" s="108">
        <f t="shared" si="476"/>
        <v>-0.26315789473684215</v>
      </c>
      <c r="BG205" s="108">
        <f t="shared" si="476"/>
        <v>0.47317744154057761</v>
      </c>
      <c r="BH205" s="108">
        <f t="shared" si="476"/>
        <v>0.29793510324483785</v>
      </c>
      <c r="BI205" s="108">
        <f t="shared" si="476"/>
        <v>0.27898550724637672</v>
      </c>
      <c r="BJ205" s="108">
        <f t="shared" si="476"/>
        <v>0.28571428571428581</v>
      </c>
      <c r="BK205" s="108"/>
      <c r="BL205" s="108"/>
      <c r="BM205" s="108"/>
      <c r="BN205" s="108"/>
      <c r="BO205" s="108"/>
      <c r="BR205" s="134" t="str">
        <f>+IFERROR(BR198/BQ198-1,"n/a")</f>
        <v>n/a</v>
      </c>
      <c r="BS205" s="134" t="str">
        <f t="shared" si="475"/>
        <v>n/a</v>
      </c>
      <c r="BT205" s="134" t="str">
        <f t="shared" si="475"/>
        <v>n/a</v>
      </c>
      <c r="BU205" s="134" t="str">
        <f t="shared" si="475"/>
        <v>n/a</v>
      </c>
      <c r="BV205" s="134" t="str">
        <f t="shared" si="475"/>
        <v>n/a</v>
      </c>
      <c r="BW205" s="134" t="str">
        <f t="shared" si="475"/>
        <v>n/a</v>
      </c>
      <c r="BX205" s="134" t="str">
        <f t="shared" si="475"/>
        <v>n/a</v>
      </c>
      <c r="BY205" s="134" t="str">
        <f t="shared" si="475"/>
        <v>n/a</v>
      </c>
      <c r="BZ205" s="134" t="str">
        <f t="shared" si="475"/>
        <v>n/a</v>
      </c>
      <c r="CA205" s="134" t="str">
        <f t="shared" si="475"/>
        <v>n/a</v>
      </c>
      <c r="CB205" s="134" t="str">
        <f t="shared" si="475"/>
        <v>n/a</v>
      </c>
      <c r="CC205" s="134" t="str">
        <f t="shared" si="475"/>
        <v>n/a</v>
      </c>
      <c r="CD205" s="108">
        <f t="shared" si="477"/>
        <v>1.2734530938123751</v>
      </c>
      <c r="CE205" s="108">
        <f t="shared" si="477"/>
        <v>0.99648814749780512</v>
      </c>
      <c r="CF205" s="108">
        <f t="shared" si="477"/>
        <v>-5.0571679859278795E-2</v>
      </c>
      <c r="CG205" s="108">
        <f t="shared" si="477"/>
        <v>-0.12181565539601669</v>
      </c>
      <c r="CH205" s="108"/>
      <c r="CI205" s="108"/>
    </row>
    <row r="206" spans="2:87" x14ac:dyDescent="0.2">
      <c r="B206" s="101" t="s">
        <v>248</v>
      </c>
      <c r="H206" s="164" t="str">
        <f t="shared" si="469"/>
        <v>n/a</v>
      </c>
      <c r="I206" s="164" t="str">
        <f t="shared" si="469"/>
        <v>n/a</v>
      </c>
      <c r="J206" s="164" t="str">
        <f t="shared" si="469"/>
        <v>n/a</v>
      </c>
      <c r="K206" s="164" t="str">
        <f t="shared" si="469"/>
        <v>n/a</v>
      </c>
      <c r="L206" s="164" t="str">
        <f t="shared" si="469"/>
        <v>n/a</v>
      </c>
      <c r="M206" s="164" t="str">
        <f t="shared" si="469"/>
        <v>n/a</v>
      </c>
      <c r="N206" s="164" t="str">
        <f t="shared" si="469"/>
        <v>n/a</v>
      </c>
      <c r="O206" s="164" t="str">
        <f t="shared" si="469"/>
        <v>n/a</v>
      </c>
      <c r="P206" s="164" t="str">
        <f t="shared" si="469"/>
        <v>n/a</v>
      </c>
      <c r="Q206" s="164" t="str">
        <f t="shared" si="469"/>
        <v>n/a</v>
      </c>
      <c r="R206" s="164" t="str">
        <f t="shared" si="470"/>
        <v>n/a</v>
      </c>
      <c r="S206" s="164" t="str">
        <f t="shared" si="470"/>
        <v>n/a</v>
      </c>
      <c r="T206" s="164" t="str">
        <f t="shared" si="470"/>
        <v>n/a</v>
      </c>
      <c r="U206" s="164" t="str">
        <f t="shared" si="470"/>
        <v>n/a</v>
      </c>
      <c r="V206" s="164" t="str">
        <f t="shared" si="470"/>
        <v>n/a</v>
      </c>
      <c r="W206" s="164" t="str">
        <f t="shared" si="470"/>
        <v>n/a</v>
      </c>
      <c r="X206" s="164" t="str">
        <f t="shared" si="470"/>
        <v>n/a</v>
      </c>
      <c r="Y206" s="164" t="str">
        <f t="shared" si="470"/>
        <v>n/a</v>
      </c>
      <c r="Z206" s="164" t="str">
        <f t="shared" si="470"/>
        <v>n/a</v>
      </c>
      <c r="AA206" s="164" t="str">
        <f t="shared" si="470"/>
        <v>n/a</v>
      </c>
      <c r="AB206" s="164" t="str">
        <f t="shared" si="471"/>
        <v>n/a</v>
      </c>
      <c r="AC206" s="164" t="str">
        <f t="shared" si="471"/>
        <v>n/a</v>
      </c>
      <c r="AD206" s="164" t="str">
        <f t="shared" si="471"/>
        <v>n/a</v>
      </c>
      <c r="AE206" s="164" t="str">
        <f t="shared" si="471"/>
        <v>n/a</v>
      </c>
      <c r="AF206" s="164" t="str">
        <f t="shared" si="471"/>
        <v>n/a</v>
      </c>
      <c r="AG206" s="164" t="str">
        <f t="shared" si="471"/>
        <v>n/a</v>
      </c>
      <c r="AH206" s="164" t="str">
        <f t="shared" si="471"/>
        <v>n/a</v>
      </c>
      <c r="AI206" s="164" t="str">
        <f t="shared" si="471"/>
        <v>n/a</v>
      </c>
      <c r="AJ206" s="164" t="str">
        <f t="shared" si="471"/>
        <v>n/a</v>
      </c>
      <c r="AK206" s="164" t="str">
        <f t="shared" si="471"/>
        <v>n/a</v>
      </c>
      <c r="AL206" s="164" t="str">
        <f t="shared" si="472"/>
        <v>n/a</v>
      </c>
      <c r="AM206" s="164" t="str">
        <f t="shared" si="472"/>
        <v>n/a</v>
      </c>
      <c r="AN206" s="164" t="str">
        <f t="shared" si="472"/>
        <v>n/a</v>
      </c>
      <c r="AO206" s="164" t="str">
        <f t="shared" si="472"/>
        <v>n/a</v>
      </c>
      <c r="AP206" s="164" t="str">
        <f t="shared" si="472"/>
        <v>n/a</v>
      </c>
      <c r="AQ206" s="164" t="str">
        <f t="shared" si="472"/>
        <v>n/a</v>
      </c>
      <c r="AR206" s="164" t="str">
        <f t="shared" si="472"/>
        <v>n/a</v>
      </c>
      <c r="AS206" s="164" t="str">
        <f t="shared" si="472"/>
        <v>n/a</v>
      </c>
      <c r="AT206" s="164" t="str">
        <f t="shared" si="472"/>
        <v>n/a</v>
      </c>
      <c r="AU206" s="164" t="str">
        <f t="shared" si="472"/>
        <v>n/a</v>
      </c>
      <c r="AV206" s="164" t="str">
        <f t="shared" si="473"/>
        <v>n/a</v>
      </c>
      <c r="AW206" s="164" t="str">
        <f t="shared" si="473"/>
        <v>n/a</v>
      </c>
      <c r="AX206" s="164" t="str">
        <f t="shared" si="473"/>
        <v>n/a</v>
      </c>
      <c r="AY206" s="106">
        <f t="shared" si="476"/>
        <v>0.19945141065830718</v>
      </c>
      <c r="AZ206" s="106">
        <f t="shared" si="476"/>
        <v>6.6371174200450911E-2</v>
      </c>
      <c r="BA206" s="106">
        <f t="shared" si="476"/>
        <v>-8.7698180692643568E-3</v>
      </c>
      <c r="BB206" s="106">
        <f t="shared" si="476"/>
        <v>-4.4674250258531556E-2</v>
      </c>
      <c r="BC206" s="106">
        <f t="shared" si="476"/>
        <v>-4.4726916337501144E-2</v>
      </c>
      <c r="BD206" s="106">
        <f t="shared" si="476"/>
        <v>2.6408198366060009E-2</v>
      </c>
      <c r="BE206" s="106">
        <f t="shared" si="476"/>
        <v>0.11022829782804799</v>
      </c>
      <c r="BF206" s="106">
        <f t="shared" si="476"/>
        <v>0.23208486685429741</v>
      </c>
      <c r="BG206" s="106">
        <f t="shared" si="476"/>
        <v>0.24703870666873939</v>
      </c>
      <c r="BH206" s="106">
        <f t="shared" si="476"/>
        <v>0.27264793157619138</v>
      </c>
      <c r="BI206" s="106">
        <f t="shared" si="476"/>
        <v>0.2210069064658271</v>
      </c>
      <c r="BJ206" s="106">
        <f t="shared" si="476"/>
        <v>0.18868974404029748</v>
      </c>
      <c r="BK206" s="106"/>
      <c r="BL206" s="106"/>
      <c r="BM206" s="106"/>
      <c r="BN206" s="106"/>
      <c r="BO206" s="106"/>
      <c r="BR206" s="164" t="str">
        <f>+IFERROR(BR199/BQ199-1,"n/a")</f>
        <v>n/a</v>
      </c>
      <c r="BS206" s="164" t="str">
        <f t="shared" si="475"/>
        <v>n/a</v>
      </c>
      <c r="BT206" s="164" t="str">
        <f t="shared" si="475"/>
        <v>n/a</v>
      </c>
      <c r="BU206" s="164" t="str">
        <f t="shared" si="475"/>
        <v>n/a</v>
      </c>
      <c r="BV206" s="164" t="str">
        <f t="shared" si="475"/>
        <v>n/a</v>
      </c>
      <c r="BW206" s="164" t="str">
        <f t="shared" si="475"/>
        <v>n/a</v>
      </c>
      <c r="BX206" s="164" t="str">
        <f t="shared" si="475"/>
        <v>n/a</v>
      </c>
      <c r="BY206" s="164" t="str">
        <f t="shared" si="475"/>
        <v>n/a</v>
      </c>
      <c r="BZ206" s="164" t="str">
        <f t="shared" si="475"/>
        <v>n/a</v>
      </c>
      <c r="CA206" s="164" t="str">
        <f t="shared" si="475"/>
        <v>n/a</v>
      </c>
      <c r="CB206" s="164" t="str">
        <f t="shared" si="475"/>
        <v>n/a</v>
      </c>
      <c r="CC206" s="164" t="str">
        <f t="shared" si="475"/>
        <v>n/a</v>
      </c>
      <c r="CD206" s="106">
        <f t="shared" si="477"/>
        <v>0.21596390228722573</v>
      </c>
      <c r="CE206" s="106">
        <f t="shared" si="477"/>
        <v>0.37182574303495608</v>
      </c>
      <c r="CF206" s="106">
        <f t="shared" si="477"/>
        <v>-1.1193175554782941E-2</v>
      </c>
      <c r="CG206" s="106">
        <f t="shared" si="477"/>
        <v>0.15686610810486323</v>
      </c>
      <c r="CH206" s="106"/>
      <c r="CI206" s="106"/>
    </row>
    <row r="207" spans="2:87" x14ac:dyDescent="0.2">
      <c r="B207" s="70"/>
      <c r="H207" s="49"/>
      <c r="I207" s="49"/>
      <c r="J207" s="49"/>
      <c r="K207" s="49"/>
      <c r="L207" s="49"/>
      <c r="AB207" s="49"/>
      <c r="AC207" s="49"/>
      <c r="AD207" s="49"/>
      <c r="BU207" s="49"/>
      <c r="CF207" s="180"/>
      <c r="CG207" s="180"/>
      <c r="CH207" s="180"/>
      <c r="CI207" s="180"/>
    </row>
    <row r="208" spans="2:87" x14ac:dyDescent="0.2">
      <c r="B208" s="54" t="s">
        <v>434</v>
      </c>
      <c r="H208" s="49"/>
      <c r="I208" s="49"/>
      <c r="J208" s="49"/>
      <c r="K208" s="49"/>
      <c r="L208" s="49"/>
      <c r="AB208" s="49"/>
      <c r="AC208" s="49"/>
      <c r="AD208" s="49"/>
      <c r="BU208" s="49"/>
      <c r="CF208" s="180"/>
      <c r="CG208" s="180"/>
      <c r="CH208" s="180"/>
      <c r="CI208" s="180"/>
    </row>
    <row r="209" spans="2:87" x14ac:dyDescent="0.2">
      <c r="B209" t="s">
        <v>317</v>
      </c>
      <c r="D209" s="83" t="s">
        <v>127</v>
      </c>
      <c r="E209" s="83" t="s">
        <v>127</v>
      </c>
      <c r="F209" s="83" t="s">
        <v>127</v>
      </c>
      <c r="G209" s="83" t="s">
        <v>127</v>
      </c>
      <c r="H209" s="83" t="s">
        <v>127</v>
      </c>
      <c r="I209" s="83" t="s">
        <v>127</v>
      </c>
      <c r="J209" s="83" t="s">
        <v>127</v>
      </c>
      <c r="K209" s="83" t="s">
        <v>127</v>
      </c>
      <c r="L209" s="83" t="s">
        <v>127</v>
      </c>
      <c r="M209" s="83" t="s">
        <v>127</v>
      </c>
      <c r="N209" s="83" t="s">
        <v>127</v>
      </c>
      <c r="O209" s="83" t="s">
        <v>127</v>
      </c>
      <c r="P209" s="83" t="s">
        <v>127</v>
      </c>
      <c r="Q209" s="83" t="s">
        <v>127</v>
      </c>
      <c r="R209" s="83" t="s">
        <v>127</v>
      </c>
      <c r="S209" s="83" t="s">
        <v>127</v>
      </c>
      <c r="T209" s="83" t="s">
        <v>127</v>
      </c>
      <c r="U209" s="83" t="s">
        <v>127</v>
      </c>
      <c r="V209" s="83" t="s">
        <v>127</v>
      </c>
      <c r="W209" s="83" t="s">
        <v>127</v>
      </c>
      <c r="X209" s="83" t="s">
        <v>127</v>
      </c>
      <c r="Y209" s="83" t="s">
        <v>127</v>
      </c>
      <c r="Z209" s="83" t="s">
        <v>127</v>
      </c>
      <c r="AA209" s="83" t="s">
        <v>127</v>
      </c>
      <c r="AB209" s="83" t="s">
        <v>127</v>
      </c>
      <c r="AC209" s="83" t="s">
        <v>127</v>
      </c>
      <c r="AD209" s="83" t="s">
        <v>127</v>
      </c>
      <c r="AE209" s="83" t="s">
        <v>127</v>
      </c>
      <c r="AF209" s="83" t="s">
        <v>127</v>
      </c>
      <c r="AG209" s="83" t="s">
        <v>127</v>
      </c>
      <c r="AH209" s="83" t="s">
        <v>127</v>
      </c>
      <c r="AI209" s="83" t="s">
        <v>127</v>
      </c>
      <c r="AJ209" s="83" t="s">
        <v>127</v>
      </c>
      <c r="AK209" s="83" t="s">
        <v>127</v>
      </c>
      <c r="AL209" s="83" t="s">
        <v>127</v>
      </c>
      <c r="AM209" s="83" t="s">
        <v>127</v>
      </c>
      <c r="AN209" s="83" t="s">
        <v>127</v>
      </c>
      <c r="AO209" s="83" t="s">
        <v>127</v>
      </c>
      <c r="AP209" s="83" t="s">
        <v>127</v>
      </c>
      <c r="AQ209" s="83" t="s">
        <v>127</v>
      </c>
      <c r="AR209" s="83" t="s">
        <v>127</v>
      </c>
      <c r="AS209" s="83" t="s">
        <v>127</v>
      </c>
      <c r="AT209" s="83" t="s">
        <v>127</v>
      </c>
      <c r="AU209" s="81">
        <v>14874</v>
      </c>
      <c r="AV209" s="81">
        <v>13205</v>
      </c>
      <c r="AW209" s="81">
        <v>14799</v>
      </c>
      <c r="AX209" s="81">
        <v>13054</v>
      </c>
      <c r="AY209" s="81">
        <v>15889</v>
      </c>
      <c r="AZ209" s="81">
        <v>11484</v>
      </c>
      <c r="BA209" s="81">
        <v>11164</v>
      </c>
      <c r="BB209" s="79">
        <f>9336+4611-515-3760</f>
        <v>9672</v>
      </c>
      <c r="BC209" s="79">
        <f>10678+3760</f>
        <v>14438</v>
      </c>
      <c r="BD209" s="79">
        <f>11219+934</f>
        <v>12153</v>
      </c>
      <c r="BE209" s="79">
        <f>13131+705</f>
        <v>13836</v>
      </c>
      <c r="BF209" s="79">
        <f>17490+305</f>
        <v>17795</v>
      </c>
      <c r="BG209" s="79">
        <f>21030+1148-(612-210-75-75)</f>
        <v>21926</v>
      </c>
      <c r="BH209" s="79">
        <f>17664+190</f>
        <v>17854</v>
      </c>
      <c r="BI209" s="79">
        <f>19335+1400</f>
        <v>20735</v>
      </c>
      <c r="BJ209" s="81">
        <v>21778</v>
      </c>
      <c r="BK209" s="79"/>
      <c r="BL209" s="79"/>
      <c r="BM209" s="79"/>
      <c r="BN209" s="79"/>
      <c r="BO209" s="79"/>
      <c r="BQ209" s="83" t="s">
        <v>127</v>
      </c>
      <c r="BR209" s="83" t="s">
        <v>127</v>
      </c>
      <c r="BS209" s="83" t="s">
        <v>127</v>
      </c>
      <c r="BT209" s="83" t="s">
        <v>127</v>
      </c>
      <c r="BU209" s="83" t="s">
        <v>127</v>
      </c>
      <c r="BV209" s="83" t="s">
        <v>127</v>
      </c>
      <c r="BW209" s="83" t="s">
        <v>127</v>
      </c>
      <c r="BX209" s="83" t="s">
        <v>127</v>
      </c>
      <c r="BY209" s="83" t="s">
        <v>127</v>
      </c>
      <c r="BZ209" s="83" t="s">
        <v>127</v>
      </c>
      <c r="CA209" s="83" t="s">
        <v>127</v>
      </c>
      <c r="CB209" s="83" t="s">
        <v>127</v>
      </c>
      <c r="CC209" s="81">
        <v>28489</v>
      </c>
      <c r="CD209" s="81">
        <v>32294</v>
      </c>
      <c r="CE209" s="81">
        <v>56946</v>
      </c>
      <c r="CF209" s="80">
        <f>+SUM(AZ209:BC209)</f>
        <v>46758</v>
      </c>
      <c r="CG209" s="80">
        <f>+SUM(BD209:BG209)</f>
        <v>65710</v>
      </c>
      <c r="CH209" s="80"/>
      <c r="CI209" s="80"/>
    </row>
    <row r="210" spans="2:87" ht="13.5" x14ac:dyDescent="0.35">
      <c r="B210" t="s">
        <v>318</v>
      </c>
      <c r="D210" s="85" t="s">
        <v>127</v>
      </c>
      <c r="E210" s="85" t="s">
        <v>127</v>
      </c>
      <c r="F210" s="85" t="s">
        <v>127</v>
      </c>
      <c r="G210" s="85" t="s">
        <v>127</v>
      </c>
      <c r="H210" s="85" t="s">
        <v>127</v>
      </c>
      <c r="I210" s="85" t="s">
        <v>127</v>
      </c>
      <c r="J210" s="85" t="s">
        <v>127</v>
      </c>
      <c r="K210" s="85" t="s">
        <v>127</v>
      </c>
      <c r="L210" s="85" t="s">
        <v>127</v>
      </c>
      <c r="M210" s="85" t="s">
        <v>127</v>
      </c>
      <c r="N210" s="85" t="s">
        <v>127</v>
      </c>
      <c r="O210" s="85" t="s">
        <v>127</v>
      </c>
      <c r="P210" s="85" t="s">
        <v>127</v>
      </c>
      <c r="Q210" s="85" t="s">
        <v>127</v>
      </c>
      <c r="R210" s="85" t="s">
        <v>127</v>
      </c>
      <c r="S210" s="85" t="s">
        <v>127</v>
      </c>
      <c r="T210" s="85" t="s">
        <v>127</v>
      </c>
      <c r="U210" s="85" t="s">
        <v>127</v>
      </c>
      <c r="V210" s="85" t="s">
        <v>127</v>
      </c>
      <c r="W210" s="85" t="s">
        <v>127</v>
      </c>
      <c r="X210" s="85" t="s">
        <v>127</v>
      </c>
      <c r="Y210" s="85" t="s">
        <v>127</v>
      </c>
      <c r="Z210" s="85" t="s">
        <v>127</v>
      </c>
      <c r="AA210" s="85" t="s">
        <v>127</v>
      </c>
      <c r="AB210" s="85" t="s">
        <v>127</v>
      </c>
      <c r="AC210" s="85" t="s">
        <v>127</v>
      </c>
      <c r="AD210" s="85" t="s">
        <v>127</v>
      </c>
      <c r="AE210" s="85" t="s">
        <v>127</v>
      </c>
      <c r="AF210" s="85" t="s">
        <v>127</v>
      </c>
      <c r="AG210" s="85" t="s">
        <v>127</v>
      </c>
      <c r="AH210" s="85" t="s">
        <v>127</v>
      </c>
      <c r="AI210" s="85" t="s">
        <v>127</v>
      </c>
      <c r="AJ210" s="85" t="s">
        <v>127</v>
      </c>
      <c r="AK210" s="85" t="s">
        <v>127</v>
      </c>
      <c r="AL210" s="85" t="s">
        <v>127</v>
      </c>
      <c r="AM210" s="85" t="s">
        <v>127</v>
      </c>
      <c r="AN210" s="85" t="s">
        <v>127</v>
      </c>
      <c r="AO210" s="85" t="s">
        <v>127</v>
      </c>
      <c r="AP210" s="85" t="s">
        <v>127</v>
      </c>
      <c r="AQ210" s="85" t="s">
        <v>127</v>
      </c>
      <c r="AR210" s="85" t="s">
        <v>127</v>
      </c>
      <c r="AS210" s="85" t="s">
        <v>127</v>
      </c>
      <c r="AT210" s="85" t="s">
        <v>127</v>
      </c>
      <c r="AU210" s="82">
        <v>-2099</v>
      </c>
      <c r="AV210" s="82">
        <v>-1827</v>
      </c>
      <c r="AW210" s="82">
        <v>-2432</v>
      </c>
      <c r="AX210" s="82">
        <v>-2631</v>
      </c>
      <c r="AY210" s="82">
        <v>-3304</v>
      </c>
      <c r="AZ210" s="82">
        <v>-2960</v>
      </c>
      <c r="BA210" s="82">
        <v>-2806</v>
      </c>
      <c r="BB210" s="71">
        <f>-3672+515-440</f>
        <v>-3597</v>
      </c>
      <c r="BC210" s="71">
        <f>-4279+440</f>
        <v>-3839</v>
      </c>
      <c r="BD210" s="71">
        <f>-3992+210</f>
        <v>-3782</v>
      </c>
      <c r="BE210" s="71">
        <f>-3739+75</f>
        <v>-3664</v>
      </c>
      <c r="BF210" s="71">
        <f>-3742+75</f>
        <v>-3667</v>
      </c>
      <c r="BG210" s="71">
        <f>-4646+(612-210-75-75)</f>
        <v>-4394</v>
      </c>
      <c r="BH210" s="71">
        <f>-3846+56</f>
        <v>-3790</v>
      </c>
      <c r="BI210" s="82">
        <v>-4488</v>
      </c>
      <c r="BJ210" s="82">
        <v>-4428</v>
      </c>
      <c r="BK210" s="71"/>
      <c r="BL210" s="71"/>
      <c r="BM210" s="71"/>
      <c r="BN210" s="71"/>
      <c r="BO210" s="71"/>
      <c r="BQ210" s="85" t="s">
        <v>127</v>
      </c>
      <c r="BR210" s="85" t="s">
        <v>127</v>
      </c>
      <c r="BS210" s="85" t="s">
        <v>127</v>
      </c>
      <c r="BT210" s="85" t="s">
        <v>127</v>
      </c>
      <c r="BU210" s="85" t="s">
        <v>127</v>
      </c>
      <c r="BV210" s="85" t="s">
        <v>127</v>
      </c>
      <c r="BW210" s="85" t="s">
        <v>127</v>
      </c>
      <c r="BX210" s="85" t="s">
        <v>127</v>
      </c>
      <c r="BY210" s="85" t="s">
        <v>127</v>
      </c>
      <c r="BZ210" s="85" t="s">
        <v>127</v>
      </c>
      <c r="CA210" s="85" t="s">
        <v>127</v>
      </c>
      <c r="CB210" s="85" t="s">
        <v>127</v>
      </c>
      <c r="CC210" s="82">
        <v>-4503</v>
      </c>
      <c r="CD210" s="82">
        <v>-6623</v>
      </c>
      <c r="CE210" s="82">
        <v>-10193</v>
      </c>
      <c r="CF210" s="72">
        <f>+SUM(AZ210:BC210)</f>
        <v>-13202</v>
      </c>
      <c r="CG210" s="72">
        <f>+SUM(BD210:BG210)</f>
        <v>-15507</v>
      </c>
      <c r="CH210" s="72"/>
      <c r="CI210" s="72"/>
    </row>
    <row r="211" spans="2:87" s="44" customFormat="1" x14ac:dyDescent="0.2">
      <c r="B211" s="110" t="s">
        <v>319</v>
      </c>
      <c r="D211" s="84" t="str">
        <f t="shared" ref="D211:AQ211" si="478">+IFERROR(D209+D210,"n/a")</f>
        <v>n/a</v>
      </c>
      <c r="E211" s="84" t="str">
        <f t="shared" si="478"/>
        <v>n/a</v>
      </c>
      <c r="F211" s="84" t="str">
        <f t="shared" si="478"/>
        <v>n/a</v>
      </c>
      <c r="G211" s="84" t="str">
        <f t="shared" si="478"/>
        <v>n/a</v>
      </c>
      <c r="H211" s="84" t="str">
        <f t="shared" si="478"/>
        <v>n/a</v>
      </c>
      <c r="I211" s="84" t="str">
        <f t="shared" si="478"/>
        <v>n/a</v>
      </c>
      <c r="J211" s="84" t="str">
        <f t="shared" si="478"/>
        <v>n/a</v>
      </c>
      <c r="K211" s="84" t="str">
        <f t="shared" si="478"/>
        <v>n/a</v>
      </c>
      <c r="L211" s="84" t="str">
        <f t="shared" si="478"/>
        <v>n/a</v>
      </c>
      <c r="M211" s="84" t="str">
        <f t="shared" si="478"/>
        <v>n/a</v>
      </c>
      <c r="N211" s="84" t="str">
        <f t="shared" si="478"/>
        <v>n/a</v>
      </c>
      <c r="O211" s="84" t="str">
        <f t="shared" si="478"/>
        <v>n/a</v>
      </c>
      <c r="P211" s="84" t="str">
        <f t="shared" si="478"/>
        <v>n/a</v>
      </c>
      <c r="Q211" s="84" t="str">
        <f t="shared" si="478"/>
        <v>n/a</v>
      </c>
      <c r="R211" s="84" t="str">
        <f t="shared" si="478"/>
        <v>n/a</v>
      </c>
      <c r="S211" s="84" t="str">
        <f t="shared" si="478"/>
        <v>n/a</v>
      </c>
      <c r="T211" s="84" t="str">
        <f t="shared" si="478"/>
        <v>n/a</v>
      </c>
      <c r="U211" s="84" t="str">
        <f t="shared" si="478"/>
        <v>n/a</v>
      </c>
      <c r="V211" s="84" t="str">
        <f t="shared" si="478"/>
        <v>n/a</v>
      </c>
      <c r="W211" s="84" t="str">
        <f t="shared" si="478"/>
        <v>n/a</v>
      </c>
      <c r="X211" s="84" t="str">
        <f t="shared" si="478"/>
        <v>n/a</v>
      </c>
      <c r="Y211" s="84" t="str">
        <f t="shared" si="478"/>
        <v>n/a</v>
      </c>
      <c r="Z211" s="84" t="str">
        <f t="shared" si="478"/>
        <v>n/a</v>
      </c>
      <c r="AA211" s="84" t="str">
        <f t="shared" si="478"/>
        <v>n/a</v>
      </c>
      <c r="AB211" s="84" t="str">
        <f t="shared" si="478"/>
        <v>n/a</v>
      </c>
      <c r="AC211" s="84" t="str">
        <f t="shared" si="478"/>
        <v>n/a</v>
      </c>
      <c r="AD211" s="84" t="str">
        <f t="shared" si="478"/>
        <v>n/a</v>
      </c>
      <c r="AE211" s="84" t="str">
        <f t="shared" si="478"/>
        <v>n/a</v>
      </c>
      <c r="AF211" s="84" t="str">
        <f t="shared" si="478"/>
        <v>n/a</v>
      </c>
      <c r="AG211" s="84" t="str">
        <f t="shared" si="478"/>
        <v>n/a</v>
      </c>
      <c r="AH211" s="84" t="str">
        <f t="shared" si="478"/>
        <v>n/a</v>
      </c>
      <c r="AI211" s="84" t="str">
        <f t="shared" si="478"/>
        <v>n/a</v>
      </c>
      <c r="AJ211" s="84" t="str">
        <f t="shared" si="478"/>
        <v>n/a</v>
      </c>
      <c r="AK211" s="84" t="str">
        <f t="shared" si="478"/>
        <v>n/a</v>
      </c>
      <c r="AL211" s="84" t="str">
        <f t="shared" si="478"/>
        <v>n/a</v>
      </c>
      <c r="AM211" s="84" t="str">
        <f t="shared" si="478"/>
        <v>n/a</v>
      </c>
      <c r="AN211" s="84" t="str">
        <f t="shared" si="478"/>
        <v>n/a</v>
      </c>
      <c r="AO211" s="84" t="str">
        <f t="shared" si="478"/>
        <v>n/a</v>
      </c>
      <c r="AP211" s="84" t="str">
        <f t="shared" si="478"/>
        <v>n/a</v>
      </c>
      <c r="AQ211" s="84" t="str">
        <f t="shared" si="478"/>
        <v>n/a</v>
      </c>
      <c r="AR211" s="111">
        <f>SUM(AR209:AR210)</f>
        <v>0</v>
      </c>
      <c r="AS211" s="84" t="str">
        <f>+IFERROR(AS209+AS210,"n/a")</f>
        <v>n/a</v>
      </c>
      <c r="AT211" s="84" t="str">
        <f>+IFERROR(AT209+AT210,"n/a")</f>
        <v>n/a</v>
      </c>
      <c r="AU211" s="111">
        <f t="shared" ref="AU211:BI211" si="479">SUM(AU209:AU210)</f>
        <v>12775</v>
      </c>
      <c r="AV211" s="111">
        <f t="shared" si="479"/>
        <v>11378</v>
      </c>
      <c r="AW211" s="111">
        <f t="shared" si="479"/>
        <v>12367</v>
      </c>
      <c r="AX211" s="111">
        <f t="shared" si="479"/>
        <v>10423</v>
      </c>
      <c r="AY211" s="111">
        <f t="shared" si="479"/>
        <v>12585</v>
      </c>
      <c r="AZ211" s="111">
        <f t="shared" si="479"/>
        <v>8524</v>
      </c>
      <c r="BA211" s="111">
        <f t="shared" si="479"/>
        <v>8358</v>
      </c>
      <c r="BB211" s="111">
        <f t="shared" si="479"/>
        <v>6075</v>
      </c>
      <c r="BC211" s="111">
        <f t="shared" si="479"/>
        <v>10599</v>
      </c>
      <c r="BD211" s="111">
        <f t="shared" si="479"/>
        <v>8371</v>
      </c>
      <c r="BE211" s="111">
        <f t="shared" si="479"/>
        <v>10172</v>
      </c>
      <c r="BF211" s="111">
        <f t="shared" si="479"/>
        <v>14128</v>
      </c>
      <c r="BG211" s="111">
        <f t="shared" si="479"/>
        <v>17532</v>
      </c>
      <c r="BH211" s="111">
        <f t="shared" si="479"/>
        <v>14064</v>
      </c>
      <c r="BI211" s="111">
        <f t="shared" si="479"/>
        <v>16247</v>
      </c>
      <c r="BJ211" s="111">
        <f t="shared" ref="BJ211" si="480">SUM(BJ209:BJ210)</f>
        <v>17350</v>
      </c>
      <c r="BK211" s="111"/>
      <c r="BL211" s="111"/>
      <c r="BM211" s="111"/>
      <c r="BN211" s="111"/>
      <c r="BO211" s="111"/>
      <c r="BQ211" s="84" t="str">
        <f t="shared" ref="BQ211:CB211" si="481">+IFERROR(BQ209+BQ210,"n/a")</f>
        <v>n/a</v>
      </c>
      <c r="BR211" s="84" t="str">
        <f t="shared" si="481"/>
        <v>n/a</v>
      </c>
      <c r="BS211" s="84" t="str">
        <f t="shared" si="481"/>
        <v>n/a</v>
      </c>
      <c r="BT211" s="84" t="str">
        <f t="shared" si="481"/>
        <v>n/a</v>
      </c>
      <c r="BU211" s="84" t="str">
        <f t="shared" si="481"/>
        <v>n/a</v>
      </c>
      <c r="BV211" s="84" t="str">
        <f t="shared" si="481"/>
        <v>n/a</v>
      </c>
      <c r="BW211" s="84" t="str">
        <f t="shared" si="481"/>
        <v>n/a</v>
      </c>
      <c r="BX211" s="84" t="str">
        <f t="shared" si="481"/>
        <v>n/a</v>
      </c>
      <c r="BY211" s="84" t="str">
        <f t="shared" si="481"/>
        <v>n/a</v>
      </c>
      <c r="BZ211" s="84" t="str">
        <f t="shared" si="481"/>
        <v>n/a</v>
      </c>
      <c r="CA211" s="84" t="str">
        <f t="shared" si="481"/>
        <v>n/a</v>
      </c>
      <c r="CB211" s="84" t="str">
        <f t="shared" si="481"/>
        <v>n/a</v>
      </c>
      <c r="CC211" s="111">
        <f>SUM(CC209:CC210)</f>
        <v>23986</v>
      </c>
      <c r="CD211" s="111">
        <f>SUM(CD209:CD210)</f>
        <v>25671</v>
      </c>
      <c r="CE211" s="111">
        <f>SUM(CE209:CE210)</f>
        <v>46753</v>
      </c>
      <c r="CF211" s="118">
        <f>+SUM(AZ211:BC211)</f>
        <v>33556</v>
      </c>
      <c r="CG211" s="118">
        <f>+SUM(BD211:BG211)</f>
        <v>50203</v>
      </c>
      <c r="CH211" s="118"/>
      <c r="CI211" s="118"/>
    </row>
    <row r="212" spans="2:87" x14ac:dyDescent="0.2">
      <c r="B212" s="70"/>
      <c r="H212" s="49"/>
      <c r="I212" s="49"/>
      <c r="J212" s="49"/>
      <c r="K212" s="49"/>
      <c r="L212" s="49"/>
      <c r="AB212" s="49"/>
      <c r="AC212" s="49"/>
      <c r="AD212" s="49"/>
      <c r="BE212" s="64"/>
      <c r="BU212" s="49"/>
    </row>
    <row r="213" spans="2:87" x14ac:dyDescent="0.2">
      <c r="B213" s="62" t="s">
        <v>17</v>
      </c>
      <c r="H213" s="49"/>
      <c r="I213" s="49"/>
      <c r="J213" s="49"/>
      <c r="K213" s="49"/>
      <c r="L213" s="49"/>
      <c r="AB213" s="49"/>
      <c r="AC213" s="49"/>
      <c r="AD213" s="49"/>
      <c r="BU213" s="49"/>
    </row>
    <row r="214" spans="2:87" x14ac:dyDescent="0.2">
      <c r="B214" s="60" t="s">
        <v>317</v>
      </c>
      <c r="H214" s="164" t="str">
        <f t="shared" ref="H214:Q216" si="482">+IFERROR(H209/D209-1,"n/a")</f>
        <v>n/a</v>
      </c>
      <c r="I214" s="164" t="str">
        <f t="shared" si="482"/>
        <v>n/a</v>
      </c>
      <c r="J214" s="164" t="str">
        <f t="shared" si="482"/>
        <v>n/a</v>
      </c>
      <c r="K214" s="164" t="str">
        <f t="shared" si="482"/>
        <v>n/a</v>
      </c>
      <c r="L214" s="164" t="str">
        <f t="shared" si="482"/>
        <v>n/a</v>
      </c>
      <c r="M214" s="164" t="str">
        <f t="shared" si="482"/>
        <v>n/a</v>
      </c>
      <c r="N214" s="164" t="str">
        <f t="shared" si="482"/>
        <v>n/a</v>
      </c>
      <c r="O214" s="164" t="str">
        <f t="shared" si="482"/>
        <v>n/a</v>
      </c>
      <c r="P214" s="164" t="str">
        <f t="shared" si="482"/>
        <v>n/a</v>
      </c>
      <c r="Q214" s="164" t="str">
        <f t="shared" si="482"/>
        <v>n/a</v>
      </c>
      <c r="R214" s="164" t="str">
        <f t="shared" ref="R214:AA216" si="483">+IFERROR(R209/N209-1,"n/a")</f>
        <v>n/a</v>
      </c>
      <c r="S214" s="164" t="str">
        <f t="shared" si="483"/>
        <v>n/a</v>
      </c>
      <c r="T214" s="164" t="str">
        <f t="shared" si="483"/>
        <v>n/a</v>
      </c>
      <c r="U214" s="164" t="str">
        <f t="shared" si="483"/>
        <v>n/a</v>
      </c>
      <c r="V214" s="164" t="str">
        <f t="shared" si="483"/>
        <v>n/a</v>
      </c>
      <c r="W214" s="164" t="str">
        <f t="shared" si="483"/>
        <v>n/a</v>
      </c>
      <c r="X214" s="164" t="str">
        <f t="shared" si="483"/>
        <v>n/a</v>
      </c>
      <c r="Y214" s="164" t="str">
        <f t="shared" si="483"/>
        <v>n/a</v>
      </c>
      <c r="Z214" s="164" t="str">
        <f t="shared" si="483"/>
        <v>n/a</v>
      </c>
      <c r="AA214" s="164" t="str">
        <f t="shared" si="483"/>
        <v>n/a</v>
      </c>
      <c r="AB214" s="164" t="str">
        <f t="shared" ref="AB214:AK216" si="484">+IFERROR(AB209/X209-1,"n/a")</f>
        <v>n/a</v>
      </c>
      <c r="AC214" s="164" t="str">
        <f t="shared" si="484"/>
        <v>n/a</v>
      </c>
      <c r="AD214" s="164" t="str">
        <f t="shared" si="484"/>
        <v>n/a</v>
      </c>
      <c r="AE214" s="164" t="str">
        <f t="shared" si="484"/>
        <v>n/a</v>
      </c>
      <c r="AF214" s="164" t="str">
        <f t="shared" si="484"/>
        <v>n/a</v>
      </c>
      <c r="AG214" s="164" t="str">
        <f t="shared" si="484"/>
        <v>n/a</v>
      </c>
      <c r="AH214" s="164" t="str">
        <f t="shared" si="484"/>
        <v>n/a</v>
      </c>
      <c r="AI214" s="164" t="str">
        <f t="shared" si="484"/>
        <v>n/a</v>
      </c>
      <c r="AJ214" s="164" t="str">
        <f t="shared" si="484"/>
        <v>n/a</v>
      </c>
      <c r="AK214" s="164" t="str">
        <f t="shared" si="484"/>
        <v>n/a</v>
      </c>
      <c r="AL214" s="164" t="str">
        <f t="shared" ref="AL214:AU216" si="485">+IFERROR(AL209/AH209-1,"n/a")</f>
        <v>n/a</v>
      </c>
      <c r="AM214" s="164" t="str">
        <f t="shared" si="485"/>
        <v>n/a</v>
      </c>
      <c r="AN214" s="164" t="str">
        <f t="shared" si="485"/>
        <v>n/a</v>
      </c>
      <c r="AO214" s="164" t="str">
        <f t="shared" si="485"/>
        <v>n/a</v>
      </c>
      <c r="AP214" s="164" t="str">
        <f t="shared" si="485"/>
        <v>n/a</v>
      </c>
      <c r="AQ214" s="164" t="str">
        <f t="shared" si="485"/>
        <v>n/a</v>
      </c>
      <c r="AR214" s="164" t="str">
        <f t="shared" si="485"/>
        <v>n/a</v>
      </c>
      <c r="AS214" s="164" t="str">
        <f t="shared" si="485"/>
        <v>n/a</v>
      </c>
      <c r="AT214" s="164" t="str">
        <f t="shared" si="485"/>
        <v>n/a</v>
      </c>
      <c r="AU214" s="164" t="str">
        <f t="shared" si="485"/>
        <v>n/a</v>
      </c>
      <c r="AV214" s="164" t="str">
        <f t="shared" ref="AV214:AX216" si="486">+IFERROR(AV209/AR209-1,"n/a")</f>
        <v>n/a</v>
      </c>
      <c r="AW214" s="164" t="str">
        <f t="shared" si="486"/>
        <v>n/a</v>
      </c>
      <c r="AX214" s="164" t="str">
        <f t="shared" si="486"/>
        <v>n/a</v>
      </c>
      <c r="AY214" s="164">
        <f t="shared" ref="AY214:BJ214" si="487">+IFERROR(AY209/AU209-1,"n/a")</f>
        <v>6.823988167271744E-2</v>
      </c>
      <c r="AZ214" s="164">
        <f t="shared" si="487"/>
        <v>-0.13032942067398712</v>
      </c>
      <c r="BA214" s="164">
        <f t="shared" si="487"/>
        <v>-0.24562470437191697</v>
      </c>
      <c r="BB214" s="164">
        <f t="shared" si="487"/>
        <v>-0.25907767734027887</v>
      </c>
      <c r="BC214" s="164">
        <f t="shared" si="487"/>
        <v>-9.1321039713008978E-2</v>
      </c>
      <c r="BD214" s="164">
        <f t="shared" si="487"/>
        <v>5.8254963427377238E-2</v>
      </c>
      <c r="BE214" s="164">
        <f t="shared" si="487"/>
        <v>0.23934073808670719</v>
      </c>
      <c r="BF214" s="164">
        <f t="shared" si="487"/>
        <v>0.83984698097601318</v>
      </c>
      <c r="BG214" s="164">
        <f t="shared" si="487"/>
        <v>0.51863138938911213</v>
      </c>
      <c r="BH214" s="164">
        <f t="shared" si="487"/>
        <v>0.46910227927260761</v>
      </c>
      <c r="BI214" s="164">
        <f t="shared" si="487"/>
        <v>0.49862677074298922</v>
      </c>
      <c r="BJ214" s="164">
        <f t="shared" si="487"/>
        <v>0.22382691767350371</v>
      </c>
      <c r="BK214" s="164"/>
      <c r="BL214" s="164"/>
      <c r="BM214" s="164"/>
      <c r="BN214" s="164"/>
      <c r="BO214" s="164"/>
      <c r="BR214" s="164" t="str">
        <f>+IFERROR(BR209/BQ209-1,"n/a")</f>
        <v>n/a</v>
      </c>
      <c r="BS214" s="164" t="str">
        <f t="shared" ref="BS214:CC216" si="488">+IFERROR(BS209/BR209-1,"n/a")</f>
        <v>n/a</v>
      </c>
      <c r="BT214" s="164" t="str">
        <f t="shared" si="488"/>
        <v>n/a</v>
      </c>
      <c r="BU214" s="164" t="str">
        <f t="shared" si="488"/>
        <v>n/a</v>
      </c>
      <c r="BV214" s="164" t="str">
        <f t="shared" si="488"/>
        <v>n/a</v>
      </c>
      <c r="BW214" s="164" t="str">
        <f t="shared" si="488"/>
        <v>n/a</v>
      </c>
      <c r="BX214" s="164" t="str">
        <f t="shared" si="488"/>
        <v>n/a</v>
      </c>
      <c r="BY214" s="164" t="str">
        <f t="shared" si="488"/>
        <v>n/a</v>
      </c>
      <c r="BZ214" s="164" t="str">
        <f t="shared" si="488"/>
        <v>n/a</v>
      </c>
      <c r="CA214" s="164" t="str">
        <f t="shared" si="488"/>
        <v>n/a</v>
      </c>
      <c r="CB214" s="164" t="str">
        <f t="shared" si="488"/>
        <v>n/a</v>
      </c>
      <c r="CC214" s="164" t="str">
        <f t="shared" si="488"/>
        <v>n/a</v>
      </c>
      <c r="CD214" s="164">
        <f>+IFERROR(CD209/CC209-1,"n/a")</f>
        <v>0.13356032152760711</v>
      </c>
      <c r="CE214" s="164">
        <f>+IFERROR(CE209/CD209-1,"n/a")</f>
        <v>0.76336161516071099</v>
      </c>
      <c r="CF214" s="164">
        <f>+IFERROR(CF209/CE209-1,"n/a")</f>
        <v>-0.17890633231482456</v>
      </c>
      <c r="CG214" s="164">
        <f>+IFERROR(CG209/CF209-1,"n/a")</f>
        <v>0.40532101458573933</v>
      </c>
      <c r="CH214" s="164"/>
      <c r="CI214" s="164"/>
    </row>
    <row r="215" spans="2:87" ht="13.5" x14ac:dyDescent="0.35">
      <c r="B215" s="60" t="s">
        <v>318</v>
      </c>
      <c r="H215" s="134" t="str">
        <f t="shared" si="482"/>
        <v>n/a</v>
      </c>
      <c r="I215" s="134" t="str">
        <f t="shared" si="482"/>
        <v>n/a</v>
      </c>
      <c r="J215" s="134" t="str">
        <f t="shared" si="482"/>
        <v>n/a</v>
      </c>
      <c r="K215" s="134" t="str">
        <f t="shared" si="482"/>
        <v>n/a</v>
      </c>
      <c r="L215" s="134" t="str">
        <f t="shared" si="482"/>
        <v>n/a</v>
      </c>
      <c r="M215" s="134" t="str">
        <f t="shared" si="482"/>
        <v>n/a</v>
      </c>
      <c r="N215" s="134" t="str">
        <f t="shared" si="482"/>
        <v>n/a</v>
      </c>
      <c r="O215" s="134" t="str">
        <f t="shared" si="482"/>
        <v>n/a</v>
      </c>
      <c r="P215" s="134" t="str">
        <f t="shared" si="482"/>
        <v>n/a</v>
      </c>
      <c r="Q215" s="134" t="str">
        <f t="shared" si="482"/>
        <v>n/a</v>
      </c>
      <c r="R215" s="134" t="str">
        <f t="shared" si="483"/>
        <v>n/a</v>
      </c>
      <c r="S215" s="134" t="str">
        <f t="shared" si="483"/>
        <v>n/a</v>
      </c>
      <c r="T215" s="134" t="str">
        <f t="shared" si="483"/>
        <v>n/a</v>
      </c>
      <c r="U215" s="134" t="str">
        <f t="shared" si="483"/>
        <v>n/a</v>
      </c>
      <c r="V215" s="134" t="str">
        <f t="shared" si="483"/>
        <v>n/a</v>
      </c>
      <c r="W215" s="134" t="str">
        <f t="shared" si="483"/>
        <v>n/a</v>
      </c>
      <c r="X215" s="134" t="str">
        <f t="shared" si="483"/>
        <v>n/a</v>
      </c>
      <c r="Y215" s="134" t="str">
        <f t="shared" si="483"/>
        <v>n/a</v>
      </c>
      <c r="Z215" s="134" t="str">
        <f t="shared" si="483"/>
        <v>n/a</v>
      </c>
      <c r="AA215" s="134" t="str">
        <f t="shared" si="483"/>
        <v>n/a</v>
      </c>
      <c r="AB215" s="134" t="str">
        <f t="shared" si="484"/>
        <v>n/a</v>
      </c>
      <c r="AC215" s="134" t="str">
        <f t="shared" si="484"/>
        <v>n/a</v>
      </c>
      <c r="AD215" s="134" t="str">
        <f t="shared" si="484"/>
        <v>n/a</v>
      </c>
      <c r="AE215" s="134" t="str">
        <f t="shared" si="484"/>
        <v>n/a</v>
      </c>
      <c r="AF215" s="134" t="str">
        <f t="shared" si="484"/>
        <v>n/a</v>
      </c>
      <c r="AG215" s="134" t="str">
        <f t="shared" si="484"/>
        <v>n/a</v>
      </c>
      <c r="AH215" s="134" t="str">
        <f t="shared" si="484"/>
        <v>n/a</v>
      </c>
      <c r="AI215" s="134" t="str">
        <f t="shared" si="484"/>
        <v>n/a</v>
      </c>
      <c r="AJ215" s="134" t="str">
        <f t="shared" si="484"/>
        <v>n/a</v>
      </c>
      <c r="AK215" s="134" t="str">
        <f t="shared" si="484"/>
        <v>n/a</v>
      </c>
      <c r="AL215" s="134" t="str">
        <f t="shared" si="485"/>
        <v>n/a</v>
      </c>
      <c r="AM215" s="134" t="str">
        <f t="shared" si="485"/>
        <v>n/a</v>
      </c>
      <c r="AN215" s="134" t="str">
        <f t="shared" si="485"/>
        <v>n/a</v>
      </c>
      <c r="AO215" s="134" t="str">
        <f t="shared" si="485"/>
        <v>n/a</v>
      </c>
      <c r="AP215" s="134" t="str">
        <f t="shared" si="485"/>
        <v>n/a</v>
      </c>
      <c r="AQ215" s="134" t="str">
        <f t="shared" si="485"/>
        <v>n/a</v>
      </c>
      <c r="AR215" s="134" t="str">
        <f t="shared" si="485"/>
        <v>n/a</v>
      </c>
      <c r="AS215" s="134" t="str">
        <f t="shared" si="485"/>
        <v>n/a</v>
      </c>
      <c r="AT215" s="134" t="str">
        <f t="shared" si="485"/>
        <v>n/a</v>
      </c>
      <c r="AU215" s="134" t="str">
        <f t="shared" si="485"/>
        <v>n/a</v>
      </c>
      <c r="AV215" s="134" t="str">
        <f t="shared" si="486"/>
        <v>n/a</v>
      </c>
      <c r="AW215" s="134" t="str">
        <f t="shared" si="486"/>
        <v>n/a</v>
      </c>
      <c r="AX215" s="134" t="str">
        <f t="shared" si="486"/>
        <v>n/a</v>
      </c>
      <c r="AY215" s="134">
        <f t="shared" ref="AY215:BJ216" si="489">+IFERROR(AY210/AU210-1,"n/a")</f>
        <v>0.57408289661743694</v>
      </c>
      <c r="AZ215" s="134">
        <f t="shared" si="489"/>
        <v>0.62014230979748231</v>
      </c>
      <c r="BA215" s="134">
        <f t="shared" si="489"/>
        <v>0.15378289473684204</v>
      </c>
      <c r="BB215" s="134">
        <f t="shared" si="489"/>
        <v>0.36716077537058145</v>
      </c>
      <c r="BC215" s="134">
        <f t="shared" si="489"/>
        <v>0.16192493946731235</v>
      </c>
      <c r="BD215" s="134">
        <f t="shared" si="489"/>
        <v>0.27770270270270281</v>
      </c>
      <c r="BE215" s="134">
        <f t="shared" si="489"/>
        <v>0.30577334283677837</v>
      </c>
      <c r="BF215" s="134">
        <f t="shared" si="489"/>
        <v>1.9460661662496603E-2</v>
      </c>
      <c r="BG215" s="134">
        <f t="shared" si="489"/>
        <v>0.14456889815055995</v>
      </c>
      <c r="BH215" s="134">
        <f t="shared" si="489"/>
        <v>2.1152829190904665E-3</v>
      </c>
      <c r="BI215" s="134">
        <f t="shared" si="489"/>
        <v>0.22489082969432306</v>
      </c>
      <c r="BJ215" s="134">
        <f t="shared" si="489"/>
        <v>0.20752658849195527</v>
      </c>
      <c r="BK215" s="134"/>
      <c r="BL215" s="134"/>
      <c r="BM215" s="134"/>
      <c r="BN215" s="134"/>
      <c r="BO215" s="134"/>
      <c r="BR215" s="134" t="str">
        <f>+IFERROR(BR210/BQ210-1,"n/a")</f>
        <v>n/a</v>
      </c>
      <c r="BS215" s="134" t="str">
        <f t="shared" si="488"/>
        <v>n/a</v>
      </c>
      <c r="BT215" s="134" t="str">
        <f t="shared" si="488"/>
        <v>n/a</v>
      </c>
      <c r="BU215" s="134" t="str">
        <f t="shared" si="488"/>
        <v>n/a</v>
      </c>
      <c r="BV215" s="134" t="str">
        <f t="shared" si="488"/>
        <v>n/a</v>
      </c>
      <c r="BW215" s="134" t="str">
        <f t="shared" si="488"/>
        <v>n/a</v>
      </c>
      <c r="BX215" s="134" t="str">
        <f t="shared" si="488"/>
        <v>n/a</v>
      </c>
      <c r="BY215" s="134" t="str">
        <f t="shared" si="488"/>
        <v>n/a</v>
      </c>
      <c r="BZ215" s="134" t="str">
        <f t="shared" si="488"/>
        <v>n/a</v>
      </c>
      <c r="CA215" s="134" t="str">
        <f t="shared" si="488"/>
        <v>n/a</v>
      </c>
      <c r="CB215" s="134" t="str">
        <f t="shared" si="488"/>
        <v>n/a</v>
      </c>
      <c r="CC215" s="134" t="str">
        <f t="shared" si="488"/>
        <v>n/a</v>
      </c>
      <c r="CD215" s="134">
        <f t="shared" ref="CD215:CG216" si="490">+IFERROR(CD210/CC210-1,"n/a")</f>
        <v>0.47079724628025765</v>
      </c>
      <c r="CE215" s="134">
        <f t="shared" si="490"/>
        <v>0.53903065076249423</v>
      </c>
      <c r="CF215" s="134">
        <f t="shared" si="490"/>
        <v>0.29520259001275395</v>
      </c>
      <c r="CG215" s="134">
        <f t="shared" si="490"/>
        <v>0.17459475836994387</v>
      </c>
      <c r="CH215" s="134"/>
      <c r="CI215" s="134"/>
    </row>
    <row r="216" spans="2:87" x14ac:dyDescent="0.2">
      <c r="B216" s="101" t="s">
        <v>319</v>
      </c>
      <c r="H216" s="164" t="str">
        <f t="shared" si="482"/>
        <v>n/a</v>
      </c>
      <c r="I216" s="164" t="str">
        <f t="shared" si="482"/>
        <v>n/a</v>
      </c>
      <c r="J216" s="164" t="str">
        <f t="shared" si="482"/>
        <v>n/a</v>
      </c>
      <c r="K216" s="164" t="str">
        <f t="shared" si="482"/>
        <v>n/a</v>
      </c>
      <c r="L216" s="164" t="str">
        <f t="shared" si="482"/>
        <v>n/a</v>
      </c>
      <c r="M216" s="164" t="str">
        <f t="shared" si="482"/>
        <v>n/a</v>
      </c>
      <c r="N216" s="164" t="str">
        <f t="shared" si="482"/>
        <v>n/a</v>
      </c>
      <c r="O216" s="164" t="str">
        <f t="shared" si="482"/>
        <v>n/a</v>
      </c>
      <c r="P216" s="164" t="str">
        <f t="shared" si="482"/>
        <v>n/a</v>
      </c>
      <c r="Q216" s="164" t="str">
        <f t="shared" si="482"/>
        <v>n/a</v>
      </c>
      <c r="R216" s="164" t="str">
        <f t="shared" si="483"/>
        <v>n/a</v>
      </c>
      <c r="S216" s="164" t="str">
        <f t="shared" si="483"/>
        <v>n/a</v>
      </c>
      <c r="T216" s="164" t="str">
        <f t="shared" si="483"/>
        <v>n/a</v>
      </c>
      <c r="U216" s="164" t="str">
        <f t="shared" si="483"/>
        <v>n/a</v>
      </c>
      <c r="V216" s="164" t="str">
        <f t="shared" si="483"/>
        <v>n/a</v>
      </c>
      <c r="W216" s="164" t="str">
        <f t="shared" si="483"/>
        <v>n/a</v>
      </c>
      <c r="X216" s="164" t="str">
        <f t="shared" si="483"/>
        <v>n/a</v>
      </c>
      <c r="Y216" s="164" t="str">
        <f t="shared" si="483"/>
        <v>n/a</v>
      </c>
      <c r="Z216" s="164" t="str">
        <f t="shared" si="483"/>
        <v>n/a</v>
      </c>
      <c r="AA216" s="164" t="str">
        <f t="shared" si="483"/>
        <v>n/a</v>
      </c>
      <c r="AB216" s="164" t="str">
        <f t="shared" si="484"/>
        <v>n/a</v>
      </c>
      <c r="AC216" s="164" t="str">
        <f t="shared" si="484"/>
        <v>n/a</v>
      </c>
      <c r="AD216" s="164" t="str">
        <f t="shared" si="484"/>
        <v>n/a</v>
      </c>
      <c r="AE216" s="164" t="str">
        <f t="shared" si="484"/>
        <v>n/a</v>
      </c>
      <c r="AF216" s="164" t="str">
        <f t="shared" si="484"/>
        <v>n/a</v>
      </c>
      <c r="AG216" s="164" t="str">
        <f t="shared" si="484"/>
        <v>n/a</v>
      </c>
      <c r="AH216" s="164" t="str">
        <f t="shared" si="484"/>
        <v>n/a</v>
      </c>
      <c r="AI216" s="164" t="str">
        <f t="shared" si="484"/>
        <v>n/a</v>
      </c>
      <c r="AJ216" s="164" t="str">
        <f t="shared" si="484"/>
        <v>n/a</v>
      </c>
      <c r="AK216" s="164" t="str">
        <f t="shared" si="484"/>
        <v>n/a</v>
      </c>
      <c r="AL216" s="164" t="str">
        <f t="shared" si="485"/>
        <v>n/a</v>
      </c>
      <c r="AM216" s="164" t="str">
        <f t="shared" si="485"/>
        <v>n/a</v>
      </c>
      <c r="AN216" s="164" t="str">
        <f t="shared" si="485"/>
        <v>n/a</v>
      </c>
      <c r="AO216" s="164" t="str">
        <f t="shared" si="485"/>
        <v>n/a</v>
      </c>
      <c r="AP216" s="164" t="str">
        <f t="shared" si="485"/>
        <v>n/a</v>
      </c>
      <c r="AQ216" s="164" t="str">
        <f t="shared" si="485"/>
        <v>n/a</v>
      </c>
      <c r="AR216" s="164" t="str">
        <f t="shared" si="485"/>
        <v>n/a</v>
      </c>
      <c r="AS216" s="164" t="str">
        <f t="shared" si="485"/>
        <v>n/a</v>
      </c>
      <c r="AT216" s="164" t="str">
        <f t="shared" si="485"/>
        <v>n/a</v>
      </c>
      <c r="AU216" s="164" t="str">
        <f t="shared" si="485"/>
        <v>n/a</v>
      </c>
      <c r="AV216" s="164" t="str">
        <f t="shared" si="486"/>
        <v>n/a</v>
      </c>
      <c r="AW216" s="164" t="str">
        <f t="shared" si="486"/>
        <v>n/a</v>
      </c>
      <c r="AX216" s="164" t="str">
        <f t="shared" si="486"/>
        <v>n/a</v>
      </c>
      <c r="AY216" s="164">
        <f t="shared" si="489"/>
        <v>-1.4872798434442225E-2</v>
      </c>
      <c r="AZ216" s="164">
        <f t="shared" si="489"/>
        <v>-0.25083494462998768</v>
      </c>
      <c r="BA216" s="164">
        <f t="shared" si="489"/>
        <v>-0.32416915986092021</v>
      </c>
      <c r="BB216" s="164">
        <f t="shared" si="489"/>
        <v>-0.41715437014295309</v>
      </c>
      <c r="BC216" s="164">
        <f t="shared" si="489"/>
        <v>-0.15780691299165672</v>
      </c>
      <c r="BD216" s="164">
        <f t="shared" si="489"/>
        <v>-1.7949319568277833E-2</v>
      </c>
      <c r="BE216" s="164">
        <f t="shared" si="489"/>
        <v>0.21703756879636282</v>
      </c>
      <c r="BF216" s="164">
        <f t="shared" si="489"/>
        <v>1.3255967078189301</v>
      </c>
      <c r="BG216" s="164">
        <f t="shared" si="489"/>
        <v>0.65411831304840073</v>
      </c>
      <c r="BH216" s="164">
        <f t="shared" si="489"/>
        <v>0.68008601122924373</v>
      </c>
      <c r="BI216" s="164">
        <f t="shared" si="489"/>
        <v>0.59722768383798663</v>
      </c>
      <c r="BJ216" s="164">
        <f t="shared" si="489"/>
        <v>0.22805775764439407</v>
      </c>
      <c r="BK216" s="164"/>
      <c r="BL216" s="164"/>
      <c r="BM216" s="164"/>
      <c r="BN216" s="164"/>
      <c r="BO216" s="164"/>
      <c r="BR216" s="164" t="str">
        <f>+IFERROR(BR211/BQ211-1,"n/a")</f>
        <v>n/a</v>
      </c>
      <c r="BS216" s="164" t="str">
        <f t="shared" si="488"/>
        <v>n/a</v>
      </c>
      <c r="BT216" s="164" t="str">
        <f t="shared" si="488"/>
        <v>n/a</v>
      </c>
      <c r="BU216" s="164" t="str">
        <f t="shared" si="488"/>
        <v>n/a</v>
      </c>
      <c r="BV216" s="164" t="str">
        <f t="shared" si="488"/>
        <v>n/a</v>
      </c>
      <c r="BW216" s="164" t="str">
        <f t="shared" si="488"/>
        <v>n/a</v>
      </c>
      <c r="BX216" s="164" t="str">
        <f t="shared" si="488"/>
        <v>n/a</v>
      </c>
      <c r="BY216" s="164" t="str">
        <f t="shared" si="488"/>
        <v>n/a</v>
      </c>
      <c r="BZ216" s="164" t="str">
        <f t="shared" si="488"/>
        <v>n/a</v>
      </c>
      <c r="CA216" s="164" t="str">
        <f t="shared" si="488"/>
        <v>n/a</v>
      </c>
      <c r="CB216" s="164" t="str">
        <f t="shared" si="488"/>
        <v>n/a</v>
      </c>
      <c r="CC216" s="164" t="str">
        <f t="shared" si="488"/>
        <v>n/a</v>
      </c>
      <c r="CD216" s="164">
        <f t="shared" si="490"/>
        <v>7.0249312098724204E-2</v>
      </c>
      <c r="CE216" s="164">
        <f t="shared" si="490"/>
        <v>0.82123797280978539</v>
      </c>
      <c r="CF216" s="164">
        <f t="shared" si="490"/>
        <v>-0.28227065642846449</v>
      </c>
      <c r="CG216" s="164">
        <f t="shared" si="490"/>
        <v>0.49609607819763979</v>
      </c>
      <c r="CH216" s="164"/>
      <c r="CI216" s="164"/>
    </row>
    <row r="217" spans="2:87" x14ac:dyDescent="0.2">
      <c r="B217" s="70"/>
      <c r="H217" s="49"/>
      <c r="I217" s="49"/>
      <c r="J217" s="49"/>
      <c r="K217" s="49"/>
      <c r="L217" s="49"/>
      <c r="AB217" s="49"/>
      <c r="AC217" s="49"/>
      <c r="AD217" s="49"/>
      <c r="BU217" s="49"/>
    </row>
    <row r="218" spans="2:87" x14ac:dyDescent="0.2">
      <c r="B218" s="62" t="s">
        <v>21</v>
      </c>
      <c r="H218" s="49"/>
      <c r="I218" s="49"/>
      <c r="J218" s="49"/>
      <c r="K218" s="49"/>
      <c r="L218" s="49"/>
      <c r="AB218" s="49"/>
      <c r="AC218" s="49"/>
      <c r="AD218" s="49"/>
      <c r="BU218" s="49"/>
    </row>
    <row r="219" spans="2:87" x14ac:dyDescent="0.2">
      <c r="B219" s="60" t="s">
        <v>317</v>
      </c>
      <c r="D219" s="171" t="str">
        <f>+IFERROR(D209/D197,"n/a")</f>
        <v>n/a</v>
      </c>
      <c r="E219" s="171" t="str">
        <f t="shared" ref="E219:AT219" si="491">+IFERROR(E209/E197,"n/a")</f>
        <v>n/a</v>
      </c>
      <c r="F219" s="171" t="str">
        <f t="shared" si="491"/>
        <v>n/a</v>
      </c>
      <c r="G219" s="171" t="str">
        <f t="shared" si="491"/>
        <v>n/a</v>
      </c>
      <c r="H219" s="171" t="str">
        <f t="shared" si="491"/>
        <v>n/a</v>
      </c>
      <c r="I219" s="171" t="str">
        <f t="shared" si="491"/>
        <v>n/a</v>
      </c>
      <c r="J219" s="171" t="str">
        <f t="shared" si="491"/>
        <v>n/a</v>
      </c>
      <c r="K219" s="171" t="str">
        <f t="shared" si="491"/>
        <v>n/a</v>
      </c>
      <c r="L219" s="171" t="str">
        <f t="shared" si="491"/>
        <v>n/a</v>
      </c>
      <c r="M219" s="171" t="str">
        <f t="shared" si="491"/>
        <v>n/a</v>
      </c>
      <c r="N219" s="171" t="str">
        <f t="shared" si="491"/>
        <v>n/a</v>
      </c>
      <c r="O219" s="171" t="str">
        <f t="shared" si="491"/>
        <v>n/a</v>
      </c>
      <c r="P219" s="171" t="str">
        <f t="shared" si="491"/>
        <v>n/a</v>
      </c>
      <c r="Q219" s="171" t="str">
        <f t="shared" si="491"/>
        <v>n/a</v>
      </c>
      <c r="R219" s="171" t="str">
        <f t="shared" si="491"/>
        <v>n/a</v>
      </c>
      <c r="S219" s="171" t="str">
        <f t="shared" si="491"/>
        <v>n/a</v>
      </c>
      <c r="T219" s="171" t="str">
        <f t="shared" si="491"/>
        <v>n/a</v>
      </c>
      <c r="U219" s="171" t="str">
        <f t="shared" si="491"/>
        <v>n/a</v>
      </c>
      <c r="V219" s="171" t="str">
        <f t="shared" si="491"/>
        <v>n/a</v>
      </c>
      <c r="W219" s="171" t="str">
        <f t="shared" si="491"/>
        <v>n/a</v>
      </c>
      <c r="X219" s="171" t="str">
        <f t="shared" si="491"/>
        <v>n/a</v>
      </c>
      <c r="Y219" s="171" t="str">
        <f t="shared" si="491"/>
        <v>n/a</v>
      </c>
      <c r="Z219" s="171" t="str">
        <f t="shared" si="491"/>
        <v>n/a</v>
      </c>
      <c r="AA219" s="171" t="str">
        <f t="shared" si="491"/>
        <v>n/a</v>
      </c>
      <c r="AB219" s="171" t="str">
        <f t="shared" si="491"/>
        <v>n/a</v>
      </c>
      <c r="AC219" s="171" t="str">
        <f t="shared" si="491"/>
        <v>n/a</v>
      </c>
      <c r="AD219" s="171" t="str">
        <f t="shared" si="491"/>
        <v>n/a</v>
      </c>
      <c r="AE219" s="171" t="str">
        <f t="shared" si="491"/>
        <v>n/a</v>
      </c>
      <c r="AF219" s="171" t="str">
        <f t="shared" si="491"/>
        <v>n/a</v>
      </c>
      <c r="AG219" s="171" t="str">
        <f t="shared" si="491"/>
        <v>n/a</v>
      </c>
      <c r="AH219" s="171" t="str">
        <f t="shared" si="491"/>
        <v>n/a</v>
      </c>
      <c r="AI219" s="171" t="str">
        <f t="shared" si="491"/>
        <v>n/a</v>
      </c>
      <c r="AJ219" s="171" t="str">
        <f t="shared" si="491"/>
        <v>n/a</v>
      </c>
      <c r="AK219" s="171" t="str">
        <f t="shared" si="491"/>
        <v>n/a</v>
      </c>
      <c r="AL219" s="171" t="str">
        <f t="shared" si="491"/>
        <v>n/a</v>
      </c>
      <c r="AM219" s="171" t="str">
        <f t="shared" si="491"/>
        <v>n/a</v>
      </c>
      <c r="AN219" s="171" t="str">
        <f t="shared" si="491"/>
        <v>n/a</v>
      </c>
      <c r="AO219" s="171" t="str">
        <f t="shared" si="491"/>
        <v>n/a</v>
      </c>
      <c r="AP219" s="171" t="str">
        <f t="shared" si="491"/>
        <v>n/a</v>
      </c>
      <c r="AQ219" s="171" t="str">
        <f t="shared" si="491"/>
        <v>n/a</v>
      </c>
      <c r="AR219" s="171" t="str">
        <f t="shared" si="491"/>
        <v>n/a</v>
      </c>
      <c r="AS219" s="171" t="str">
        <f t="shared" si="491"/>
        <v>n/a</v>
      </c>
      <c r="AT219" s="171" t="str">
        <f t="shared" si="491"/>
        <v>n/a</v>
      </c>
      <c r="AU219" s="171">
        <f t="shared" ref="AU219:BI219" si="492">+IFERROR(AU209/AU197,"n/a")</f>
        <v>0.5437397185158106</v>
      </c>
      <c r="AV219" s="171">
        <f t="shared" si="492"/>
        <v>0.51507586691110507</v>
      </c>
      <c r="AW219" s="171">
        <f t="shared" si="492"/>
        <v>0.51435423328235785</v>
      </c>
      <c r="AX219" s="171">
        <f t="shared" si="492"/>
        <v>0.45880781667369602</v>
      </c>
      <c r="AY219" s="171">
        <f t="shared" si="492"/>
        <v>0.48450936146856133</v>
      </c>
      <c r="AZ219" s="171">
        <f t="shared" si="492"/>
        <v>0.42200418917429172</v>
      </c>
      <c r="BA219" s="171">
        <f t="shared" si="492"/>
        <v>0.39351427564328517</v>
      </c>
      <c r="BB219" s="171">
        <f t="shared" si="492"/>
        <v>0.35261949032046375</v>
      </c>
      <c r="BC219" s="171">
        <f t="shared" si="492"/>
        <v>0.45925313315096378</v>
      </c>
      <c r="BD219" s="171">
        <f t="shared" si="492"/>
        <v>0.4293436020631668</v>
      </c>
      <c r="BE219" s="171">
        <f t="shared" si="492"/>
        <v>0.43615042713488639</v>
      </c>
      <c r="BF219" s="171">
        <f t="shared" si="492"/>
        <v>0.52436940122583686</v>
      </c>
      <c r="BG219" s="171">
        <f t="shared" si="492"/>
        <v>0.56162909836065578</v>
      </c>
      <c r="BH219" s="171">
        <f t="shared" si="492"/>
        <v>0.49573788699153132</v>
      </c>
      <c r="BI219" s="171">
        <f t="shared" si="492"/>
        <v>0.53553902577612478</v>
      </c>
      <c r="BJ219" s="171">
        <f t="shared" ref="BJ219" si="493">+IFERROR(BJ209/BJ197,"n/a")</f>
        <v>0.54014236464198018</v>
      </c>
      <c r="BK219" s="171"/>
      <c r="BL219" s="171"/>
      <c r="BM219" s="171"/>
      <c r="BN219" s="171"/>
      <c r="BO219" s="171"/>
      <c r="BQ219" s="171" t="str">
        <f>+IFERROR(BQ209/BQ197,"n/a")</f>
        <v>n/a</v>
      </c>
      <c r="BR219" s="171" t="str">
        <f t="shared" ref="BR219:CB219" si="494">+IFERROR(BR209/BR197,"n/a")</f>
        <v>n/a</v>
      </c>
      <c r="BS219" s="171" t="str">
        <f t="shared" si="494"/>
        <v>n/a</v>
      </c>
      <c r="BT219" s="171" t="str">
        <f t="shared" si="494"/>
        <v>n/a</v>
      </c>
      <c r="BU219" s="171" t="str">
        <f t="shared" si="494"/>
        <v>n/a</v>
      </c>
      <c r="BV219" s="171" t="str">
        <f t="shared" si="494"/>
        <v>n/a</v>
      </c>
      <c r="BW219" s="171" t="str">
        <f t="shared" si="494"/>
        <v>n/a</v>
      </c>
      <c r="BX219" s="171" t="str">
        <f t="shared" si="494"/>
        <v>n/a</v>
      </c>
      <c r="BY219" s="171" t="str">
        <f t="shared" si="494"/>
        <v>n/a</v>
      </c>
      <c r="BZ219" s="171" t="str">
        <f t="shared" si="494"/>
        <v>n/a</v>
      </c>
      <c r="CA219" s="171" t="str">
        <f t="shared" si="494"/>
        <v>n/a</v>
      </c>
      <c r="CB219" s="171" t="str">
        <f t="shared" si="494"/>
        <v>n/a</v>
      </c>
      <c r="CC219" s="171">
        <f t="shared" ref="CC219:CG221" si="495">+IFERROR(CC209/CC197,"n/a")</f>
        <v>0.40584933614450963</v>
      </c>
      <c r="CD219" s="171">
        <f t="shared" si="495"/>
        <v>0.38070874496027163</v>
      </c>
      <c r="CE219" s="171">
        <f t="shared" si="495"/>
        <v>0.49237819376594183</v>
      </c>
      <c r="CF219" s="171">
        <f t="shared" si="495"/>
        <v>0.40854521625163825</v>
      </c>
      <c r="CG219" s="171">
        <f t="shared" si="495"/>
        <v>0.49404157738430887</v>
      </c>
      <c r="CH219" s="171"/>
      <c r="CI219" s="171"/>
    </row>
    <row r="220" spans="2:87" ht="13.5" x14ac:dyDescent="0.35">
      <c r="B220" s="60" t="s">
        <v>318</v>
      </c>
      <c r="D220" s="172" t="str">
        <f t="shared" ref="D220:AT220" si="496">+IFERROR(D210/D198,"n/a")</f>
        <v>n/a</v>
      </c>
      <c r="E220" s="172" t="str">
        <f t="shared" si="496"/>
        <v>n/a</v>
      </c>
      <c r="F220" s="172" t="str">
        <f t="shared" si="496"/>
        <v>n/a</v>
      </c>
      <c r="G220" s="172" t="str">
        <f t="shared" si="496"/>
        <v>n/a</v>
      </c>
      <c r="H220" s="172" t="str">
        <f t="shared" si="496"/>
        <v>n/a</v>
      </c>
      <c r="I220" s="172" t="str">
        <f t="shared" si="496"/>
        <v>n/a</v>
      </c>
      <c r="J220" s="172" t="str">
        <f t="shared" si="496"/>
        <v>n/a</v>
      </c>
      <c r="K220" s="172" t="str">
        <f t="shared" si="496"/>
        <v>n/a</v>
      </c>
      <c r="L220" s="172" t="str">
        <f t="shared" si="496"/>
        <v>n/a</v>
      </c>
      <c r="M220" s="172" t="str">
        <f t="shared" si="496"/>
        <v>n/a</v>
      </c>
      <c r="N220" s="172" t="str">
        <f t="shared" si="496"/>
        <v>n/a</v>
      </c>
      <c r="O220" s="172" t="str">
        <f t="shared" si="496"/>
        <v>n/a</v>
      </c>
      <c r="P220" s="172" t="str">
        <f t="shared" si="496"/>
        <v>n/a</v>
      </c>
      <c r="Q220" s="172" t="str">
        <f t="shared" si="496"/>
        <v>n/a</v>
      </c>
      <c r="R220" s="172" t="str">
        <f t="shared" si="496"/>
        <v>n/a</v>
      </c>
      <c r="S220" s="172" t="str">
        <f t="shared" si="496"/>
        <v>n/a</v>
      </c>
      <c r="T220" s="172" t="str">
        <f t="shared" si="496"/>
        <v>n/a</v>
      </c>
      <c r="U220" s="172" t="str">
        <f t="shared" si="496"/>
        <v>n/a</v>
      </c>
      <c r="V220" s="172" t="str">
        <f t="shared" si="496"/>
        <v>n/a</v>
      </c>
      <c r="W220" s="172" t="str">
        <f t="shared" si="496"/>
        <v>n/a</v>
      </c>
      <c r="X220" s="172" t="str">
        <f t="shared" si="496"/>
        <v>n/a</v>
      </c>
      <c r="Y220" s="172" t="str">
        <f t="shared" si="496"/>
        <v>n/a</v>
      </c>
      <c r="Z220" s="172" t="str">
        <f t="shared" si="496"/>
        <v>n/a</v>
      </c>
      <c r="AA220" s="172" t="str">
        <f t="shared" si="496"/>
        <v>n/a</v>
      </c>
      <c r="AB220" s="172" t="str">
        <f t="shared" si="496"/>
        <v>n/a</v>
      </c>
      <c r="AC220" s="172" t="str">
        <f t="shared" si="496"/>
        <v>n/a</v>
      </c>
      <c r="AD220" s="172" t="str">
        <f t="shared" si="496"/>
        <v>n/a</v>
      </c>
      <c r="AE220" s="172" t="str">
        <f t="shared" si="496"/>
        <v>n/a</v>
      </c>
      <c r="AF220" s="172" t="str">
        <f t="shared" si="496"/>
        <v>n/a</v>
      </c>
      <c r="AG220" s="172" t="str">
        <f t="shared" si="496"/>
        <v>n/a</v>
      </c>
      <c r="AH220" s="172" t="str">
        <f t="shared" si="496"/>
        <v>n/a</v>
      </c>
      <c r="AI220" s="172" t="str">
        <f t="shared" si="496"/>
        <v>n/a</v>
      </c>
      <c r="AJ220" s="172" t="str">
        <f t="shared" si="496"/>
        <v>n/a</v>
      </c>
      <c r="AK220" s="172" t="str">
        <f t="shared" si="496"/>
        <v>n/a</v>
      </c>
      <c r="AL220" s="172" t="str">
        <f t="shared" si="496"/>
        <v>n/a</v>
      </c>
      <c r="AM220" s="172" t="str">
        <f t="shared" si="496"/>
        <v>n/a</v>
      </c>
      <c r="AN220" s="172" t="str">
        <f t="shared" si="496"/>
        <v>n/a</v>
      </c>
      <c r="AO220" s="172" t="str">
        <f t="shared" si="496"/>
        <v>n/a</v>
      </c>
      <c r="AP220" s="172" t="str">
        <f t="shared" si="496"/>
        <v>n/a</v>
      </c>
      <c r="AQ220" s="172" t="str">
        <f t="shared" si="496"/>
        <v>n/a</v>
      </c>
      <c r="AR220" s="172" t="str">
        <f t="shared" si="496"/>
        <v>n/a</v>
      </c>
      <c r="AS220" s="172" t="str">
        <f t="shared" si="496"/>
        <v>n/a</v>
      </c>
      <c r="AT220" s="172" t="str">
        <f t="shared" si="496"/>
        <v>n/a</v>
      </c>
      <c r="AU220" s="172">
        <f t="shared" ref="AU220:AY221" si="497">+IFERROR(AU210/AU198,"n/a")</f>
        <v>-2.9274755927475593</v>
      </c>
      <c r="AV220" s="172">
        <f t="shared" si="497"/>
        <v>-3.4213483146067416</v>
      </c>
      <c r="AW220" s="172">
        <f t="shared" si="497"/>
        <v>-7.973770491803279</v>
      </c>
      <c r="AX220" s="172">
        <f t="shared" si="497"/>
        <v>-4.71505376344086</v>
      </c>
      <c r="AY220" s="172">
        <f t="shared" si="497"/>
        <v>-3.767388825541619</v>
      </c>
      <c r="AZ220" s="172">
        <f t="shared" ref="AZ220:BI220" si="498">+IFERROR(AZ210/AZ198,"n/a")</f>
        <v>-4.2589928057553958</v>
      </c>
      <c r="BA220" s="172">
        <f t="shared" si="498"/>
        <v>-6.2079646017699117</v>
      </c>
      <c r="BB220" s="172">
        <f t="shared" si="498"/>
        <v>-12.621052631578948</v>
      </c>
      <c r="BC220" s="172">
        <f t="shared" si="498"/>
        <v>-5.2806052269601098</v>
      </c>
      <c r="BD220" s="172">
        <f t="shared" si="498"/>
        <v>-11.156342182890855</v>
      </c>
      <c r="BE220" s="172">
        <f t="shared" si="498"/>
        <v>-13.27536231884058</v>
      </c>
      <c r="BF220" s="172">
        <f t="shared" si="498"/>
        <v>-17.461904761904762</v>
      </c>
      <c r="BG220" s="172">
        <f t="shared" si="498"/>
        <v>-4.1027077497665729</v>
      </c>
      <c r="BH220" s="172">
        <f t="shared" si="498"/>
        <v>-8.6136363636363633</v>
      </c>
      <c r="BI220" s="172">
        <f t="shared" si="498"/>
        <v>-12.713881019830028</v>
      </c>
      <c r="BJ220" s="172">
        <f t="shared" ref="BJ220" si="499">+IFERROR(BJ210/BJ198,"n/a")</f>
        <v>-16.399999999999999</v>
      </c>
      <c r="BK220" s="172"/>
      <c r="BL220" s="172"/>
      <c r="BM220" s="172"/>
      <c r="BN220" s="172"/>
      <c r="BO220" s="172"/>
      <c r="BQ220" s="172" t="str">
        <f t="shared" ref="BQ220:CB220" si="500">+IFERROR(BQ210/BQ198,"n/a")</f>
        <v>n/a</v>
      </c>
      <c r="BR220" s="172" t="str">
        <f t="shared" si="500"/>
        <v>n/a</v>
      </c>
      <c r="BS220" s="172" t="str">
        <f t="shared" si="500"/>
        <v>n/a</v>
      </c>
      <c r="BT220" s="172" t="str">
        <f t="shared" si="500"/>
        <v>n/a</v>
      </c>
      <c r="BU220" s="172" t="str">
        <f t="shared" si="500"/>
        <v>n/a</v>
      </c>
      <c r="BV220" s="172" t="str">
        <f t="shared" si="500"/>
        <v>n/a</v>
      </c>
      <c r="BW220" s="172" t="str">
        <f t="shared" si="500"/>
        <v>n/a</v>
      </c>
      <c r="BX220" s="172" t="str">
        <f t="shared" si="500"/>
        <v>n/a</v>
      </c>
      <c r="BY220" s="172" t="str">
        <f t="shared" si="500"/>
        <v>n/a</v>
      </c>
      <c r="BZ220" s="172" t="str">
        <f t="shared" si="500"/>
        <v>n/a</v>
      </c>
      <c r="CA220" s="172" t="str">
        <f t="shared" si="500"/>
        <v>n/a</v>
      </c>
      <c r="CB220" s="172" t="str">
        <f t="shared" si="500"/>
        <v>n/a</v>
      </c>
      <c r="CC220" s="172">
        <f t="shared" si="495"/>
        <v>-8.9880239520958085</v>
      </c>
      <c r="CD220" s="172">
        <f t="shared" si="495"/>
        <v>-5.814749780509219</v>
      </c>
      <c r="CE220" s="172">
        <f t="shared" si="495"/>
        <v>-4.4824098504837293</v>
      </c>
      <c r="CF220" s="172">
        <f t="shared" si="495"/>
        <v>-6.1148679944418713</v>
      </c>
      <c r="CG220" s="172">
        <f t="shared" si="495"/>
        <v>-8.1787974683544302</v>
      </c>
      <c r="CH220" s="172"/>
      <c r="CI220" s="172"/>
    </row>
    <row r="221" spans="2:87" x14ac:dyDescent="0.2">
      <c r="B221" s="101" t="s">
        <v>319</v>
      </c>
      <c r="D221" s="171" t="str">
        <f t="shared" ref="D221:AT221" si="501">+IFERROR(D211/D199,"n/a")</f>
        <v>n/a</v>
      </c>
      <c r="E221" s="171" t="str">
        <f t="shared" si="501"/>
        <v>n/a</v>
      </c>
      <c r="F221" s="171" t="str">
        <f t="shared" si="501"/>
        <v>n/a</v>
      </c>
      <c r="G221" s="171" t="str">
        <f t="shared" si="501"/>
        <v>n/a</v>
      </c>
      <c r="H221" s="171" t="str">
        <f t="shared" si="501"/>
        <v>n/a</v>
      </c>
      <c r="I221" s="171" t="str">
        <f t="shared" si="501"/>
        <v>n/a</v>
      </c>
      <c r="J221" s="171" t="str">
        <f t="shared" si="501"/>
        <v>n/a</v>
      </c>
      <c r="K221" s="171" t="str">
        <f t="shared" si="501"/>
        <v>n/a</v>
      </c>
      <c r="L221" s="171" t="str">
        <f t="shared" si="501"/>
        <v>n/a</v>
      </c>
      <c r="M221" s="171" t="str">
        <f t="shared" si="501"/>
        <v>n/a</v>
      </c>
      <c r="N221" s="171" t="str">
        <f t="shared" si="501"/>
        <v>n/a</v>
      </c>
      <c r="O221" s="171" t="str">
        <f t="shared" si="501"/>
        <v>n/a</v>
      </c>
      <c r="P221" s="171" t="str">
        <f t="shared" si="501"/>
        <v>n/a</v>
      </c>
      <c r="Q221" s="171" t="str">
        <f t="shared" si="501"/>
        <v>n/a</v>
      </c>
      <c r="R221" s="171" t="str">
        <f t="shared" si="501"/>
        <v>n/a</v>
      </c>
      <c r="S221" s="171" t="str">
        <f t="shared" si="501"/>
        <v>n/a</v>
      </c>
      <c r="T221" s="171" t="str">
        <f t="shared" si="501"/>
        <v>n/a</v>
      </c>
      <c r="U221" s="171" t="str">
        <f t="shared" si="501"/>
        <v>n/a</v>
      </c>
      <c r="V221" s="171" t="str">
        <f t="shared" si="501"/>
        <v>n/a</v>
      </c>
      <c r="W221" s="171" t="str">
        <f t="shared" si="501"/>
        <v>n/a</v>
      </c>
      <c r="X221" s="171" t="str">
        <f t="shared" si="501"/>
        <v>n/a</v>
      </c>
      <c r="Y221" s="171" t="str">
        <f t="shared" si="501"/>
        <v>n/a</v>
      </c>
      <c r="Z221" s="171" t="str">
        <f t="shared" si="501"/>
        <v>n/a</v>
      </c>
      <c r="AA221" s="171" t="str">
        <f t="shared" si="501"/>
        <v>n/a</v>
      </c>
      <c r="AB221" s="171" t="str">
        <f t="shared" si="501"/>
        <v>n/a</v>
      </c>
      <c r="AC221" s="171" t="str">
        <f t="shared" si="501"/>
        <v>n/a</v>
      </c>
      <c r="AD221" s="171" t="str">
        <f t="shared" si="501"/>
        <v>n/a</v>
      </c>
      <c r="AE221" s="171" t="str">
        <f t="shared" si="501"/>
        <v>n/a</v>
      </c>
      <c r="AF221" s="171" t="str">
        <f t="shared" si="501"/>
        <v>n/a</v>
      </c>
      <c r="AG221" s="171" t="str">
        <f t="shared" si="501"/>
        <v>n/a</v>
      </c>
      <c r="AH221" s="171" t="str">
        <f t="shared" si="501"/>
        <v>n/a</v>
      </c>
      <c r="AI221" s="171" t="str">
        <f t="shared" si="501"/>
        <v>n/a</v>
      </c>
      <c r="AJ221" s="171" t="str">
        <f t="shared" si="501"/>
        <v>n/a</v>
      </c>
      <c r="AK221" s="171" t="str">
        <f t="shared" si="501"/>
        <v>n/a</v>
      </c>
      <c r="AL221" s="171" t="str">
        <f t="shared" si="501"/>
        <v>n/a</v>
      </c>
      <c r="AM221" s="171" t="str">
        <f t="shared" si="501"/>
        <v>n/a</v>
      </c>
      <c r="AN221" s="171" t="str">
        <f t="shared" si="501"/>
        <v>n/a</v>
      </c>
      <c r="AO221" s="171" t="str">
        <f t="shared" si="501"/>
        <v>n/a</v>
      </c>
      <c r="AP221" s="171" t="str">
        <f t="shared" si="501"/>
        <v>n/a</v>
      </c>
      <c r="AQ221" s="171" t="str">
        <f t="shared" si="501"/>
        <v>n/a</v>
      </c>
      <c r="AR221" s="171" t="str">
        <f t="shared" si="501"/>
        <v>n/a</v>
      </c>
      <c r="AS221" s="171" t="str">
        <f t="shared" si="501"/>
        <v>n/a</v>
      </c>
      <c r="AT221" s="171" t="str">
        <f t="shared" si="501"/>
        <v>n/a</v>
      </c>
      <c r="AU221" s="171">
        <f t="shared" si="497"/>
        <v>0.45507979481333716</v>
      </c>
      <c r="AV221" s="171">
        <f t="shared" si="497"/>
        <v>0.43475602766420846</v>
      </c>
      <c r="AW221" s="171">
        <f t="shared" si="497"/>
        <v>0.42531898063761736</v>
      </c>
      <c r="AX221" s="171">
        <f t="shared" si="497"/>
        <v>0.35928990003447087</v>
      </c>
      <c r="AY221" s="171">
        <f t="shared" si="497"/>
        <v>0.37376377297971547</v>
      </c>
      <c r="AZ221" s="171">
        <f t="shared" ref="AZ221:BI221" si="502">+IFERROR(AZ211/AZ199,"n/a")</f>
        <v>0.30543213415508097</v>
      </c>
      <c r="BA221" s="171">
        <f t="shared" si="502"/>
        <v>0.28998681562695161</v>
      </c>
      <c r="BB221" s="171">
        <f t="shared" si="502"/>
        <v>0.21920329075557479</v>
      </c>
      <c r="BC221" s="171">
        <f t="shared" si="502"/>
        <v>0.3295196642313073</v>
      </c>
      <c r="BD221" s="171">
        <f t="shared" si="502"/>
        <v>0.29223250130912898</v>
      </c>
      <c r="BE221" s="171">
        <f t="shared" si="502"/>
        <v>0.31788493390418449</v>
      </c>
      <c r="BF221" s="171">
        <f t="shared" si="502"/>
        <v>0.41375270895566096</v>
      </c>
      <c r="BG221" s="171">
        <f t="shared" si="502"/>
        <v>0.43708708334372115</v>
      </c>
      <c r="BH221" s="171">
        <f t="shared" si="502"/>
        <v>0.38579070086407902</v>
      </c>
      <c r="BI221" s="171">
        <f t="shared" si="502"/>
        <v>0.41583271480125927</v>
      </c>
      <c r="BJ221" s="171">
        <f t="shared" ref="BJ221" si="503">+IFERROR(BJ211/BJ199,"n/a")</f>
        <v>0.4274557146024785</v>
      </c>
      <c r="BK221" s="171"/>
      <c r="BL221" s="171"/>
      <c r="BM221" s="171"/>
      <c r="BN221" s="171"/>
      <c r="BO221" s="171"/>
      <c r="BQ221" s="171" t="str">
        <f t="shared" ref="BQ221:CB221" si="504">+IFERROR(BQ211/BQ199,"n/a")</f>
        <v>n/a</v>
      </c>
      <c r="BR221" s="171" t="str">
        <f t="shared" si="504"/>
        <v>n/a</v>
      </c>
      <c r="BS221" s="171" t="str">
        <f t="shared" si="504"/>
        <v>n/a</v>
      </c>
      <c r="BT221" s="171" t="str">
        <f t="shared" si="504"/>
        <v>n/a</v>
      </c>
      <c r="BU221" s="171" t="str">
        <f t="shared" si="504"/>
        <v>n/a</v>
      </c>
      <c r="BV221" s="171" t="str">
        <f t="shared" si="504"/>
        <v>n/a</v>
      </c>
      <c r="BW221" s="171" t="str">
        <f t="shared" si="504"/>
        <v>n/a</v>
      </c>
      <c r="BX221" s="171" t="str">
        <f t="shared" si="504"/>
        <v>n/a</v>
      </c>
      <c r="BY221" s="171" t="str">
        <f t="shared" si="504"/>
        <v>n/a</v>
      </c>
      <c r="BZ221" s="171" t="str">
        <f t="shared" si="504"/>
        <v>n/a</v>
      </c>
      <c r="CA221" s="171" t="str">
        <f t="shared" si="504"/>
        <v>n/a</v>
      </c>
      <c r="CB221" s="171" t="str">
        <f t="shared" si="504"/>
        <v>n/a</v>
      </c>
      <c r="CC221" s="171">
        <f t="shared" si="495"/>
        <v>0.33927889443682191</v>
      </c>
      <c r="CD221" s="171">
        <f t="shared" si="495"/>
        <v>0.29862153201884489</v>
      </c>
      <c r="CE221" s="171">
        <f t="shared" si="495"/>
        <v>0.39645040660058173</v>
      </c>
      <c r="CF221" s="171">
        <f t="shared" si="495"/>
        <v>0.28776509531854316</v>
      </c>
      <c r="CG221" s="171">
        <f t="shared" si="495"/>
        <v>0.372146981860772</v>
      </c>
      <c r="CH221" s="171"/>
      <c r="CI221" s="171"/>
    </row>
    <row r="222" spans="2:87" x14ac:dyDescent="0.2">
      <c r="H222" s="49"/>
      <c r="I222" s="49"/>
      <c r="J222" s="49"/>
      <c r="K222" s="49"/>
      <c r="L222" s="49"/>
      <c r="AB222" s="49"/>
      <c r="AC222" s="49"/>
      <c r="AD222" s="49"/>
      <c r="BU222" s="49"/>
    </row>
    <row r="223" spans="2:87" x14ac:dyDescent="0.2">
      <c r="B223" s="54" t="s">
        <v>441</v>
      </c>
      <c r="AT223" s="56"/>
      <c r="AU223" s="56"/>
      <c r="AV223" s="56"/>
      <c r="AW223" s="56"/>
      <c r="CD223" s="56"/>
    </row>
    <row r="224" spans="2:87" x14ac:dyDescent="0.2">
      <c r="B224" t="s">
        <v>214</v>
      </c>
      <c r="D224" s="81">
        <v>214</v>
      </c>
      <c r="E224" s="81">
        <v>249</v>
      </c>
      <c r="F224" s="81">
        <v>271</v>
      </c>
      <c r="G224" s="81">
        <v>412</v>
      </c>
      <c r="H224" s="81">
        <v>394</v>
      </c>
      <c r="I224" s="81">
        <v>471</v>
      </c>
      <c r="J224" s="81">
        <v>482</v>
      </c>
      <c r="K224" s="81">
        <v>567</v>
      </c>
      <c r="L224" s="81">
        <v>525</v>
      </c>
      <c r="M224" s="81">
        <v>590</v>
      </c>
      <c r="N224" s="81">
        <v>637</v>
      </c>
      <c r="O224" s="81">
        <v>780</v>
      </c>
      <c r="P224" s="81">
        <v>679</v>
      </c>
      <c r="Q224" s="81">
        <v>848</v>
      </c>
      <c r="R224" s="81">
        <v>962</v>
      </c>
      <c r="S224" s="81">
        <v>1206</v>
      </c>
      <c r="T224" s="81">
        <v>1179</v>
      </c>
      <c r="U224" s="81">
        <v>1308</v>
      </c>
      <c r="V224" s="81">
        <v>1514</v>
      </c>
      <c r="W224" s="81">
        <v>1864</v>
      </c>
      <c r="X224" s="81">
        <v>1739</v>
      </c>
      <c r="Y224" s="81">
        <v>1967</v>
      </c>
      <c r="Z224" s="81">
        <v>2256</v>
      </c>
      <c r="AA224" s="81">
        <v>2987</v>
      </c>
      <c r="AB224" s="81">
        <v>2740</v>
      </c>
      <c r="AC224" s="81">
        <v>3212</v>
      </c>
      <c r="AD224" s="81">
        <v>3560</v>
      </c>
      <c r="AE224" s="81">
        <v>4556</v>
      </c>
      <c r="AF224" s="81">
        <v>3968</v>
      </c>
      <c r="AG224" s="81">
        <v>4556</v>
      </c>
      <c r="AH224" s="81">
        <v>5033</v>
      </c>
      <c r="AI224" s="81">
        <v>6392</v>
      </c>
      <c r="AJ224" s="81">
        <v>5667</v>
      </c>
      <c r="AK224" s="81">
        <v>6251</v>
      </c>
      <c r="AL224" s="81">
        <v>6667</v>
      </c>
      <c r="AM224" s="81">
        <v>8433</v>
      </c>
      <c r="AN224" s="81">
        <v>7308</v>
      </c>
      <c r="AO224" s="81">
        <v>8115</v>
      </c>
      <c r="AP224" s="81">
        <v>8487</v>
      </c>
      <c r="AQ224" s="81">
        <v>10248</v>
      </c>
      <c r="AR224" s="81">
        <v>8562</v>
      </c>
      <c r="AS224" s="81">
        <v>9291</v>
      </c>
      <c r="AT224" s="81">
        <v>10137</v>
      </c>
      <c r="AU224" s="81">
        <v>13734</v>
      </c>
      <c r="AV224" s="81">
        <v>12405</v>
      </c>
      <c r="AW224" s="81">
        <v>13738</v>
      </c>
      <c r="AX224" s="81">
        <v>13613</v>
      </c>
      <c r="AY224" s="81">
        <v>15826</v>
      </c>
      <c r="AZ224" s="81">
        <v>12671</v>
      </c>
      <c r="BA224" s="81">
        <v>13249</v>
      </c>
      <c r="BB224" s="81">
        <v>13035</v>
      </c>
      <c r="BC224" s="81">
        <v>15636</v>
      </c>
      <c r="BD224" s="81">
        <v>13048</v>
      </c>
      <c r="BE224" s="81">
        <v>14422</v>
      </c>
      <c r="BF224" s="81">
        <v>15190</v>
      </c>
      <c r="BG224" s="81">
        <v>18585</v>
      </c>
      <c r="BH224" s="81">
        <v>15824</v>
      </c>
      <c r="BI224" s="81">
        <v>16847</v>
      </c>
      <c r="BJ224" s="81">
        <v>17609</v>
      </c>
      <c r="BK224" s="81"/>
      <c r="BL224" s="81"/>
      <c r="BM224" s="81"/>
      <c r="BN224" s="81"/>
      <c r="BO224" s="81"/>
      <c r="BP224" s="116"/>
      <c r="BQ224" s="83" t="s">
        <v>127</v>
      </c>
      <c r="BR224" s="83" t="s">
        <v>127</v>
      </c>
      <c r="BS224" s="83" t="s">
        <v>127</v>
      </c>
      <c r="BT224" s="64">
        <f>+SUM(D224:G224)</f>
        <v>1146</v>
      </c>
      <c r="BU224" s="64">
        <f>+SUM(H224:K224)</f>
        <v>1914</v>
      </c>
      <c r="BV224" s="64">
        <f>+SUM(L224:O224)</f>
        <v>2532</v>
      </c>
      <c r="BW224" s="64">
        <f>+SUM(P224:S224)</f>
        <v>3695</v>
      </c>
      <c r="BX224" s="64">
        <f>+SUM(T224:W224)</f>
        <v>5865</v>
      </c>
      <c r="BY224" s="64">
        <f>+SUM(X224:AA224)</f>
        <v>8949</v>
      </c>
      <c r="BZ224" s="64">
        <f>+SUM(AB224:AE224)</f>
        <v>14068</v>
      </c>
      <c r="CA224" s="64">
        <f>+SUM(AF224:AI224)</f>
        <v>19949</v>
      </c>
      <c r="CB224" s="64">
        <f>+SUM(AJ224:AM224)</f>
        <v>27018</v>
      </c>
      <c r="CC224" s="64">
        <f>+SUM(AN224:AQ224)</f>
        <v>34158</v>
      </c>
      <c r="CD224" s="64">
        <f>+SUM(AR224:AU224)</f>
        <v>41724</v>
      </c>
      <c r="CE224" s="64">
        <f>+SUM(AV224:AY224)</f>
        <v>55582</v>
      </c>
      <c r="CF224" s="64">
        <f>+SUM(AZ224:BC224)</f>
        <v>54591</v>
      </c>
      <c r="CG224" s="64">
        <f>+SUM(BD224:BG224)</f>
        <v>61245</v>
      </c>
      <c r="CH224" s="64"/>
      <c r="CI224" s="64"/>
    </row>
    <row r="225" spans="2:87" x14ac:dyDescent="0.2">
      <c r="B225" t="s">
        <v>215</v>
      </c>
      <c r="D225" s="81">
        <v>96</v>
      </c>
      <c r="E225" s="81">
        <v>129</v>
      </c>
      <c r="F225" s="81">
        <v>134</v>
      </c>
      <c r="G225" s="81">
        <v>218</v>
      </c>
      <c r="H225" s="81">
        <v>229</v>
      </c>
      <c r="I225" s="81">
        <v>275</v>
      </c>
      <c r="J225" s="81">
        <v>290</v>
      </c>
      <c r="K225" s="81">
        <v>361</v>
      </c>
      <c r="L225" s="81">
        <v>328</v>
      </c>
      <c r="M225" s="81">
        <v>346</v>
      </c>
      <c r="N225" s="81">
        <v>341</v>
      </c>
      <c r="O225" s="81">
        <v>440</v>
      </c>
      <c r="P225" s="81">
        <v>423</v>
      </c>
      <c r="Q225" s="81">
        <v>505</v>
      </c>
      <c r="R225" s="81">
        <v>538</v>
      </c>
      <c r="S225" s="81">
        <v>727</v>
      </c>
      <c r="T225" s="81">
        <v>698</v>
      </c>
      <c r="U225" s="81">
        <v>824</v>
      </c>
      <c r="V225" s="81">
        <v>844</v>
      </c>
      <c r="W225" s="81">
        <v>1030</v>
      </c>
      <c r="X225" s="81">
        <v>908</v>
      </c>
      <c r="Y225" s="81">
        <v>1037</v>
      </c>
      <c r="Z225" s="81">
        <v>1085</v>
      </c>
      <c r="AA225" s="81">
        <v>1456</v>
      </c>
      <c r="AB225" s="81">
        <v>1307</v>
      </c>
      <c r="AC225" s="81">
        <v>1585</v>
      </c>
      <c r="AD225" s="81">
        <v>1605</v>
      </c>
      <c r="AE225" s="81">
        <v>2065</v>
      </c>
      <c r="AF225" s="81">
        <v>1905</v>
      </c>
      <c r="AG225" s="81">
        <v>2242</v>
      </c>
      <c r="AH225" s="81">
        <v>2481</v>
      </c>
      <c r="AI225" s="81">
        <v>3250</v>
      </c>
      <c r="AJ225" s="81">
        <v>3036</v>
      </c>
      <c r="AK225" s="81">
        <v>3302</v>
      </c>
      <c r="AL225" s="81">
        <v>3313</v>
      </c>
      <c r="AM225" s="81">
        <v>4151</v>
      </c>
      <c r="AN225" s="81">
        <v>3650</v>
      </c>
      <c r="AO225" s="81">
        <v>4109</v>
      </c>
      <c r="AP225" s="81">
        <v>4124</v>
      </c>
      <c r="AQ225" s="81">
        <v>5159</v>
      </c>
      <c r="AR225" s="81">
        <v>4254</v>
      </c>
      <c r="AS225" s="81">
        <v>4502</v>
      </c>
      <c r="AT225" s="81">
        <v>5104</v>
      </c>
      <c r="AU225" s="81">
        <v>7011</v>
      </c>
      <c r="AV225" s="81">
        <v>6523</v>
      </c>
      <c r="AW225" s="81">
        <v>7270</v>
      </c>
      <c r="AX225" s="81">
        <v>6955</v>
      </c>
      <c r="AY225" s="81">
        <v>8357</v>
      </c>
      <c r="AZ225" s="81">
        <v>6486</v>
      </c>
      <c r="BA225" s="81">
        <v>6452</v>
      </c>
      <c r="BB225" s="81">
        <v>5797</v>
      </c>
      <c r="BC225" s="81">
        <v>7050</v>
      </c>
      <c r="BD225" s="81">
        <v>6345</v>
      </c>
      <c r="BE225" s="81">
        <v>7323</v>
      </c>
      <c r="BF225" s="81">
        <v>7777</v>
      </c>
      <c r="BG225" s="81">
        <v>9441</v>
      </c>
      <c r="BH225" s="81">
        <v>8483</v>
      </c>
      <c r="BI225" s="81">
        <v>9300</v>
      </c>
      <c r="BJ225" s="81">
        <v>9492</v>
      </c>
      <c r="BK225" s="81"/>
      <c r="BL225" s="81"/>
      <c r="BM225" s="81"/>
      <c r="BN225" s="81"/>
      <c r="BO225" s="81"/>
      <c r="BP225" s="116"/>
      <c r="BQ225" s="83" t="s">
        <v>127</v>
      </c>
      <c r="BR225" s="83" t="s">
        <v>127</v>
      </c>
      <c r="BS225" s="83" t="s">
        <v>127</v>
      </c>
      <c r="BT225" s="64">
        <f>+SUM(D225:G225)</f>
        <v>577</v>
      </c>
      <c r="BU225" s="64">
        <f>+SUM(H225:K225)</f>
        <v>1155</v>
      </c>
      <c r="BV225" s="64">
        <f>+SUM(L225:O225)</f>
        <v>1455</v>
      </c>
      <c r="BW225" s="64">
        <f>+SUM(P225:S225)</f>
        <v>2193</v>
      </c>
      <c r="BX225" s="64">
        <f>+SUM(T225:W225)</f>
        <v>3396</v>
      </c>
      <c r="BY225" s="64">
        <f>+SUM(X225:AA225)</f>
        <v>4486</v>
      </c>
      <c r="BZ225" s="64">
        <f>+SUM(AB225:AE225)</f>
        <v>6562</v>
      </c>
      <c r="CA225" s="64">
        <f>+SUM(AF225:AI225)</f>
        <v>9878</v>
      </c>
      <c r="CB225" s="64">
        <f>+SUM(AJ225:AM225)</f>
        <v>13802</v>
      </c>
      <c r="CC225" s="64">
        <f>+SUM(AN225:AQ225)</f>
        <v>17042</v>
      </c>
      <c r="CD225" s="64">
        <f>+SUM(AR225:AU225)</f>
        <v>20871</v>
      </c>
      <c r="CE225" s="64">
        <f>+SUM(AV225:AY225)</f>
        <v>29105</v>
      </c>
      <c r="CF225" s="64">
        <f>+SUM(AZ225:BC225)</f>
        <v>25785</v>
      </c>
      <c r="CG225" s="64">
        <f>+SUM(BD225:BG225)</f>
        <v>30886</v>
      </c>
      <c r="CH225" s="64"/>
      <c r="CI225" s="64"/>
    </row>
    <row r="226" spans="2:87" x14ac:dyDescent="0.2">
      <c r="B226" t="s">
        <v>216</v>
      </c>
      <c r="D226" s="81">
        <v>22</v>
      </c>
      <c r="E226" s="81">
        <v>31</v>
      </c>
      <c r="F226" s="81">
        <v>37</v>
      </c>
      <c r="G226" s="81">
        <v>58</v>
      </c>
      <c r="H226" s="81">
        <v>62</v>
      </c>
      <c r="I226" s="81">
        <v>82</v>
      </c>
      <c r="J226" s="81">
        <v>104</v>
      </c>
      <c r="K226" s="81">
        <v>115</v>
      </c>
      <c r="L226" s="81">
        <v>118</v>
      </c>
      <c r="M226" s="81">
        <v>135</v>
      </c>
      <c r="N226" s="81">
        <v>154</v>
      </c>
      <c r="O226" s="81">
        <v>198</v>
      </c>
      <c r="P226" s="81">
        <v>197</v>
      </c>
      <c r="Q226" s="81">
        <v>247</v>
      </c>
      <c r="R226" s="81">
        <v>278</v>
      </c>
      <c r="S226" s="81">
        <v>341</v>
      </c>
      <c r="T226" s="81">
        <v>354</v>
      </c>
      <c r="U226" s="81">
        <v>431</v>
      </c>
      <c r="V226" s="81">
        <v>492</v>
      </c>
      <c r="W226" s="81">
        <v>554</v>
      </c>
      <c r="X226" s="81">
        <v>542</v>
      </c>
      <c r="Y226" s="81">
        <v>623</v>
      </c>
      <c r="Z226" s="81">
        <v>709</v>
      </c>
      <c r="AA226" s="81">
        <v>848</v>
      </c>
      <c r="AB226" s="81">
        <v>862</v>
      </c>
      <c r="AC226" s="81">
        <v>1025</v>
      </c>
      <c r="AD226" s="81">
        <v>1154</v>
      </c>
      <c r="AE226" s="81">
        <v>1349</v>
      </c>
      <c r="AF226" s="81">
        <v>1375</v>
      </c>
      <c r="AG226" s="81">
        <v>1569</v>
      </c>
      <c r="AH226" s="81">
        <v>1760</v>
      </c>
      <c r="AI226" s="81">
        <v>2059</v>
      </c>
      <c r="AJ226" s="81">
        <v>2091</v>
      </c>
      <c r="AK226" s="81">
        <v>2316</v>
      </c>
      <c r="AL226" s="81">
        <v>2422</v>
      </c>
      <c r="AM226" s="81">
        <v>2759</v>
      </c>
      <c r="AN226" s="81">
        <v>2682</v>
      </c>
      <c r="AO226" s="81">
        <v>3012</v>
      </c>
      <c r="AP226" s="81">
        <v>3267</v>
      </c>
      <c r="AQ226" s="81">
        <v>3665</v>
      </c>
      <c r="AR226" s="81">
        <v>3257</v>
      </c>
      <c r="AS226" s="81">
        <v>3341</v>
      </c>
      <c r="AT226" s="81">
        <v>4230</v>
      </c>
      <c r="AU226" s="81">
        <v>4793</v>
      </c>
      <c r="AV226" s="81">
        <v>4789</v>
      </c>
      <c r="AW226" s="81">
        <v>5190</v>
      </c>
      <c r="AX226" s="81">
        <v>5461</v>
      </c>
      <c r="AY226" s="81">
        <v>6244</v>
      </c>
      <c r="AZ226" s="81">
        <v>5759</v>
      </c>
      <c r="BA226" s="81">
        <v>5908</v>
      </c>
      <c r="BB226" s="81">
        <v>5782</v>
      </c>
      <c r="BC226" s="81">
        <v>6050</v>
      </c>
      <c r="BD226" s="81">
        <v>5960</v>
      </c>
      <c r="BE226" s="81">
        <v>6515</v>
      </c>
      <c r="BF226" s="81">
        <v>6928</v>
      </c>
      <c r="BG226" s="81">
        <v>7512</v>
      </c>
      <c r="BH226" s="81">
        <v>7481</v>
      </c>
      <c r="BI226" s="81">
        <v>7888</v>
      </c>
      <c r="BJ226" s="81">
        <v>8220</v>
      </c>
      <c r="BK226" s="81"/>
      <c r="BL226" s="81"/>
      <c r="BM226" s="81"/>
      <c r="BN226" s="81"/>
      <c r="BO226" s="81"/>
      <c r="BP226" s="116"/>
      <c r="BQ226" s="83" t="s">
        <v>127</v>
      </c>
      <c r="BR226" s="83" t="s">
        <v>127</v>
      </c>
      <c r="BS226" s="83" t="s">
        <v>127</v>
      </c>
      <c r="BT226" s="64">
        <f>+SUM(D226:G226)</f>
        <v>148</v>
      </c>
      <c r="BU226" s="64">
        <f>+SUM(H226:K226)</f>
        <v>363</v>
      </c>
      <c r="BV226" s="64">
        <f>+SUM(L226:O226)</f>
        <v>605</v>
      </c>
      <c r="BW226" s="64">
        <f>+SUM(P226:S226)</f>
        <v>1063</v>
      </c>
      <c r="BX226" s="64">
        <f>+SUM(T226:W226)</f>
        <v>1831</v>
      </c>
      <c r="BY226" s="64">
        <f>+SUM(X226:AA226)</f>
        <v>2722</v>
      </c>
      <c r="BZ226" s="64">
        <f>+SUM(AB226:AE226)</f>
        <v>4390</v>
      </c>
      <c r="CA226" s="64">
        <f>+SUM(AF226:AI226)</f>
        <v>6763</v>
      </c>
      <c r="CB226" s="64">
        <f>+SUM(AJ226:AM226)</f>
        <v>9588</v>
      </c>
      <c r="CC226" s="64">
        <f>+SUM(AN226:AQ226)</f>
        <v>12626</v>
      </c>
      <c r="CD226" s="64">
        <f>+SUM(AR226:AU226)</f>
        <v>15621</v>
      </c>
      <c r="CE226" s="64">
        <f>+SUM(AV226:AY226)</f>
        <v>21684</v>
      </c>
      <c r="CF226" s="64">
        <f>+SUM(AZ226:BC226)</f>
        <v>23499</v>
      </c>
      <c r="CG226" s="64">
        <f>+SUM(BD226:BG226)</f>
        <v>26915</v>
      </c>
      <c r="CH226" s="64"/>
      <c r="CI226" s="64"/>
    </row>
    <row r="227" spans="2:87" ht="13.5" x14ac:dyDescent="0.35">
      <c r="B227" t="s">
        <v>217</v>
      </c>
      <c r="D227" s="82">
        <v>13</v>
      </c>
      <c r="E227" s="82">
        <v>22</v>
      </c>
      <c r="F227" s="82">
        <v>25</v>
      </c>
      <c r="G227" s="82">
        <v>43</v>
      </c>
      <c r="H227" s="82">
        <v>46</v>
      </c>
      <c r="I227" s="82">
        <v>67</v>
      </c>
      <c r="J227" s="82">
        <v>78</v>
      </c>
      <c r="K227" s="82">
        <v>88</v>
      </c>
      <c r="L227" s="82">
        <v>87</v>
      </c>
      <c r="M227" s="82">
        <v>113</v>
      </c>
      <c r="N227" s="82">
        <v>130</v>
      </c>
      <c r="O227" s="82">
        <v>167</v>
      </c>
      <c r="P227" s="82">
        <v>159</v>
      </c>
      <c r="Q227" s="82">
        <v>213</v>
      </c>
      <c r="R227" s="82">
        <v>238</v>
      </c>
      <c r="S227" s="82">
        <v>311</v>
      </c>
      <c r="T227" s="82">
        <v>271</v>
      </c>
      <c r="U227" s="82">
        <v>347</v>
      </c>
      <c r="V227" s="82">
        <v>353</v>
      </c>
      <c r="W227" s="82">
        <v>403</v>
      </c>
      <c r="X227" s="82">
        <v>354</v>
      </c>
      <c r="Y227" s="82">
        <v>415</v>
      </c>
      <c r="Z227" s="82">
        <v>451</v>
      </c>
      <c r="AA227" s="82">
        <v>550</v>
      </c>
      <c r="AB227" s="82">
        <v>473</v>
      </c>
      <c r="AC227" s="82">
        <v>614</v>
      </c>
      <c r="AD227" s="82">
        <v>691</v>
      </c>
      <c r="AE227" s="82">
        <v>838</v>
      </c>
      <c r="AF227" s="82">
        <v>782</v>
      </c>
      <c r="AG227" s="82">
        <v>953</v>
      </c>
      <c r="AH227" s="82">
        <v>1053</v>
      </c>
      <c r="AI227" s="82">
        <v>1271</v>
      </c>
      <c r="AJ227" s="82">
        <v>1172</v>
      </c>
      <c r="AK227" s="82">
        <v>1362</v>
      </c>
      <c r="AL227" s="82">
        <v>1325</v>
      </c>
      <c r="AM227" s="82">
        <v>1571</v>
      </c>
      <c r="AN227" s="82">
        <v>1437</v>
      </c>
      <c r="AO227" s="82">
        <v>1650</v>
      </c>
      <c r="AP227" s="82">
        <v>1774</v>
      </c>
      <c r="AQ227" s="82">
        <v>2010</v>
      </c>
      <c r="AR227" s="82">
        <v>1664</v>
      </c>
      <c r="AS227" s="82">
        <v>1553</v>
      </c>
      <c r="AT227" s="82">
        <v>1999</v>
      </c>
      <c r="AU227" s="82">
        <v>2534</v>
      </c>
      <c r="AV227" s="82">
        <v>2454</v>
      </c>
      <c r="AW227" s="82">
        <v>2879</v>
      </c>
      <c r="AX227" s="82">
        <v>2981</v>
      </c>
      <c r="AY227" s="82">
        <v>3244</v>
      </c>
      <c r="AZ227" s="82">
        <v>2992</v>
      </c>
      <c r="BA227" s="82">
        <v>3213</v>
      </c>
      <c r="BB227" s="82">
        <v>3100</v>
      </c>
      <c r="BC227" s="82">
        <v>3429</v>
      </c>
      <c r="BD227" s="82">
        <v>3292</v>
      </c>
      <c r="BE227" s="82">
        <v>3739</v>
      </c>
      <c r="BF227" s="82">
        <v>4251</v>
      </c>
      <c r="BG227" s="82">
        <v>4573</v>
      </c>
      <c r="BH227" s="82">
        <v>4667</v>
      </c>
      <c r="BI227" s="82">
        <v>5036</v>
      </c>
      <c r="BJ227" s="82">
        <v>5268</v>
      </c>
      <c r="BK227" s="82"/>
      <c r="BL227" s="82"/>
      <c r="BM227" s="82"/>
      <c r="BN227" s="82"/>
      <c r="BO227" s="82"/>
      <c r="BP227" s="116"/>
      <c r="BQ227" s="85" t="s">
        <v>127</v>
      </c>
      <c r="BR227" s="85" t="s">
        <v>127</v>
      </c>
      <c r="BS227" s="85" t="s">
        <v>127</v>
      </c>
      <c r="BT227" s="65">
        <f>+SUM(D227:G227)</f>
        <v>103</v>
      </c>
      <c r="BU227" s="65">
        <f>+SUM(H227:K227)</f>
        <v>279</v>
      </c>
      <c r="BV227" s="65">
        <f>+SUM(L227:O227)</f>
        <v>497</v>
      </c>
      <c r="BW227" s="65">
        <f>+SUM(P227:S227)</f>
        <v>921</v>
      </c>
      <c r="BX227" s="65">
        <f>+SUM(T227:W227)</f>
        <v>1374</v>
      </c>
      <c r="BY227" s="65">
        <f>+SUM(X227:AA227)</f>
        <v>1770</v>
      </c>
      <c r="BZ227" s="65">
        <f>+SUM(AB227:AE227)</f>
        <v>2616</v>
      </c>
      <c r="CA227" s="65">
        <f>+SUM(AF227:AI227)</f>
        <v>4059</v>
      </c>
      <c r="CB227" s="65">
        <f>+SUM(AJ227:AM227)</f>
        <v>5430</v>
      </c>
      <c r="CC227" s="65">
        <f>+SUM(AN227:AQ227)</f>
        <v>6871</v>
      </c>
      <c r="CD227" s="65">
        <f>+SUM(AR227:AU227)</f>
        <v>7750</v>
      </c>
      <c r="CE227" s="65">
        <f>+SUM(AV227:AY227)</f>
        <v>11558</v>
      </c>
      <c r="CF227" s="65">
        <f>+SUM(AZ227:BC227)</f>
        <v>12734</v>
      </c>
      <c r="CG227" s="65">
        <f>+SUM(BD227:BG227)</f>
        <v>15855</v>
      </c>
      <c r="CH227" s="65"/>
      <c r="CI227" s="65"/>
    </row>
    <row r="228" spans="2:87" s="44" customFormat="1" x14ac:dyDescent="0.2">
      <c r="B228" s="110" t="s">
        <v>248</v>
      </c>
      <c r="D228" s="111">
        <f>SUM(D224:D227)</f>
        <v>345</v>
      </c>
      <c r="E228" s="111">
        <f t="shared" ref="E228:AT228" si="505">SUM(E224:E227)</f>
        <v>431</v>
      </c>
      <c r="F228" s="111">
        <f t="shared" si="505"/>
        <v>467</v>
      </c>
      <c r="G228" s="111">
        <f t="shared" si="505"/>
        <v>731</v>
      </c>
      <c r="H228" s="111">
        <f t="shared" si="505"/>
        <v>731</v>
      </c>
      <c r="I228" s="111">
        <f t="shared" si="505"/>
        <v>895</v>
      </c>
      <c r="J228" s="111">
        <f t="shared" si="505"/>
        <v>954</v>
      </c>
      <c r="K228" s="111">
        <f t="shared" si="505"/>
        <v>1131</v>
      </c>
      <c r="L228" s="111">
        <f t="shared" si="505"/>
        <v>1058</v>
      </c>
      <c r="M228" s="111">
        <f t="shared" si="505"/>
        <v>1184</v>
      </c>
      <c r="N228" s="111">
        <f t="shared" si="505"/>
        <v>1262</v>
      </c>
      <c r="O228" s="111">
        <f t="shared" si="505"/>
        <v>1585</v>
      </c>
      <c r="P228" s="111">
        <f t="shared" si="505"/>
        <v>1458</v>
      </c>
      <c r="Q228" s="111">
        <f t="shared" si="505"/>
        <v>1813</v>
      </c>
      <c r="R228" s="111">
        <f t="shared" si="505"/>
        <v>2016</v>
      </c>
      <c r="S228" s="111">
        <f t="shared" si="505"/>
        <v>2585</v>
      </c>
      <c r="T228" s="111">
        <f t="shared" si="505"/>
        <v>2502</v>
      </c>
      <c r="U228" s="111">
        <f t="shared" si="505"/>
        <v>2910</v>
      </c>
      <c r="V228" s="111">
        <f t="shared" si="505"/>
        <v>3203</v>
      </c>
      <c r="W228" s="111">
        <f t="shared" si="505"/>
        <v>3851</v>
      </c>
      <c r="X228" s="111">
        <f t="shared" si="505"/>
        <v>3543</v>
      </c>
      <c r="Y228" s="111">
        <f t="shared" si="505"/>
        <v>4042</v>
      </c>
      <c r="Z228" s="111">
        <f t="shared" si="505"/>
        <v>4501</v>
      </c>
      <c r="AA228" s="111">
        <f t="shared" si="505"/>
        <v>5841</v>
      </c>
      <c r="AB228" s="111">
        <f t="shared" si="505"/>
        <v>5382</v>
      </c>
      <c r="AC228" s="111">
        <f t="shared" si="505"/>
        <v>6436</v>
      </c>
      <c r="AD228" s="111">
        <f t="shared" si="505"/>
        <v>7010</v>
      </c>
      <c r="AE228" s="111">
        <f t="shared" si="505"/>
        <v>8808</v>
      </c>
      <c r="AF228" s="111">
        <f t="shared" si="505"/>
        <v>8030</v>
      </c>
      <c r="AG228" s="111">
        <f t="shared" si="505"/>
        <v>9320</v>
      </c>
      <c r="AH228" s="111">
        <f t="shared" si="505"/>
        <v>10327</v>
      </c>
      <c r="AI228" s="111">
        <f t="shared" si="505"/>
        <v>12972</v>
      </c>
      <c r="AJ228" s="111">
        <f t="shared" si="505"/>
        <v>11966</v>
      </c>
      <c r="AK228" s="111">
        <f t="shared" si="505"/>
        <v>13231</v>
      </c>
      <c r="AL228" s="111">
        <f t="shared" si="505"/>
        <v>13727</v>
      </c>
      <c r="AM228" s="111">
        <f t="shared" si="505"/>
        <v>16914</v>
      </c>
      <c r="AN228" s="111">
        <f t="shared" si="505"/>
        <v>15077</v>
      </c>
      <c r="AO228" s="111">
        <f t="shared" si="505"/>
        <v>16886</v>
      </c>
      <c r="AP228" s="111">
        <f t="shared" si="505"/>
        <v>17652</v>
      </c>
      <c r="AQ228" s="111">
        <f t="shared" si="505"/>
        <v>21082</v>
      </c>
      <c r="AR228" s="111">
        <f t="shared" si="505"/>
        <v>17737</v>
      </c>
      <c r="AS228" s="111">
        <f t="shared" si="505"/>
        <v>18687</v>
      </c>
      <c r="AT228" s="111">
        <f t="shared" si="505"/>
        <v>21470</v>
      </c>
      <c r="AU228" s="111">
        <f t="shared" ref="AU228:BI228" si="506">SUM(AU224:AU227)</f>
        <v>28072</v>
      </c>
      <c r="AV228" s="111">
        <f t="shared" si="506"/>
        <v>26171</v>
      </c>
      <c r="AW228" s="111">
        <f t="shared" si="506"/>
        <v>29077</v>
      </c>
      <c r="AX228" s="111">
        <f t="shared" si="506"/>
        <v>29010</v>
      </c>
      <c r="AY228" s="111">
        <f t="shared" si="506"/>
        <v>33671</v>
      </c>
      <c r="AZ228" s="111">
        <f t="shared" si="506"/>
        <v>27908</v>
      </c>
      <c r="BA228" s="111">
        <f t="shared" si="506"/>
        <v>28822</v>
      </c>
      <c r="BB228" s="111">
        <f t="shared" si="506"/>
        <v>27714</v>
      </c>
      <c r="BC228" s="111">
        <f t="shared" si="506"/>
        <v>32165</v>
      </c>
      <c r="BD228" s="111">
        <f t="shared" si="506"/>
        <v>28645</v>
      </c>
      <c r="BE228" s="111">
        <f t="shared" si="506"/>
        <v>31999</v>
      </c>
      <c r="BF228" s="111">
        <f t="shared" si="506"/>
        <v>34146</v>
      </c>
      <c r="BG228" s="111">
        <f t="shared" si="506"/>
        <v>40111</v>
      </c>
      <c r="BH228" s="111">
        <f t="shared" si="506"/>
        <v>36455</v>
      </c>
      <c r="BI228" s="111">
        <f t="shared" si="506"/>
        <v>39071</v>
      </c>
      <c r="BJ228" s="111">
        <f t="shared" ref="BJ228" si="507">SUM(BJ224:BJ227)</f>
        <v>40589</v>
      </c>
      <c r="BK228" s="111"/>
      <c r="BL228" s="111"/>
      <c r="BM228" s="111"/>
      <c r="BN228" s="111"/>
      <c r="BO228" s="111"/>
      <c r="BQ228" s="111">
        <f>+BQ126</f>
        <v>153</v>
      </c>
      <c r="BR228" s="111">
        <f>+BR126</f>
        <v>272</v>
      </c>
      <c r="BS228" s="111">
        <f>+BS126</f>
        <v>777</v>
      </c>
      <c r="BT228" s="111">
        <f>+SUM(D228:G228)</f>
        <v>1974</v>
      </c>
      <c r="BU228" s="111">
        <f t="shared" ref="BU228:CC228" si="508">SUM(BU224:BU227)</f>
        <v>3711</v>
      </c>
      <c r="BV228" s="111">
        <f t="shared" si="508"/>
        <v>5089</v>
      </c>
      <c r="BW228" s="111">
        <f t="shared" si="508"/>
        <v>7872</v>
      </c>
      <c r="BX228" s="111">
        <f t="shared" si="508"/>
        <v>12466</v>
      </c>
      <c r="BY228" s="111">
        <f t="shared" si="508"/>
        <v>17927</v>
      </c>
      <c r="BZ228" s="111">
        <f t="shared" si="508"/>
        <v>27636</v>
      </c>
      <c r="CA228" s="111">
        <f t="shared" si="508"/>
        <v>40649</v>
      </c>
      <c r="CB228" s="111">
        <f t="shared" si="508"/>
        <v>55838</v>
      </c>
      <c r="CC228" s="111">
        <f t="shared" si="508"/>
        <v>70697</v>
      </c>
      <c r="CD228" s="111">
        <f>SUM(CD224:CD227)</f>
        <v>85966</v>
      </c>
      <c r="CE228" s="111">
        <f>SUM(CE224:CE227)</f>
        <v>117929</v>
      </c>
      <c r="CF228" s="111">
        <f>SUM(CF224:CF227)</f>
        <v>116609</v>
      </c>
      <c r="CG228" s="111">
        <f>SUM(CG224:CG227)</f>
        <v>134901</v>
      </c>
      <c r="CH228" s="111"/>
      <c r="CI228" s="111"/>
    </row>
    <row r="229" spans="2:87" x14ac:dyDescent="0.2">
      <c r="D229" s="56"/>
      <c r="AM229" s="64"/>
      <c r="AN229" s="64"/>
      <c r="AO229" s="64"/>
      <c r="AP229" s="64"/>
      <c r="AQ229" s="64"/>
      <c r="AR229" s="64"/>
      <c r="AS229" s="64"/>
      <c r="AT229" s="64"/>
      <c r="AU229" s="64"/>
      <c r="AV229" s="64"/>
      <c r="AW229" s="64"/>
      <c r="AX229" s="64"/>
      <c r="AY229" s="64"/>
      <c r="AZ229" s="64"/>
      <c r="BA229" s="64"/>
      <c r="BB229" s="64"/>
      <c r="BC229" s="64"/>
      <c r="BD229" s="64"/>
      <c r="BE229" s="64"/>
      <c r="BF229" s="64"/>
      <c r="BG229" s="64"/>
      <c r="BH229" s="64"/>
      <c r="BI229" s="64"/>
      <c r="BJ229" s="64"/>
    </row>
    <row r="230" spans="2:87" x14ac:dyDescent="0.2">
      <c r="B230" s="62" t="s">
        <v>17</v>
      </c>
      <c r="AN230" s="177"/>
      <c r="AO230" s="177"/>
      <c r="AP230" s="177"/>
      <c r="AQ230" s="177"/>
      <c r="AR230" s="177"/>
      <c r="AS230" s="177"/>
      <c r="AT230" s="177"/>
      <c r="AU230" s="177"/>
      <c r="AV230" s="177"/>
      <c r="AW230" s="177"/>
      <c r="AX230" s="177"/>
      <c r="AY230" s="177"/>
      <c r="AZ230" s="177"/>
      <c r="BA230" s="177"/>
      <c r="BB230" s="177"/>
      <c r="BC230" s="177"/>
      <c r="BD230" s="177"/>
      <c r="BE230" s="177"/>
      <c r="BF230" s="177"/>
      <c r="BG230" s="177"/>
      <c r="BH230" s="177"/>
      <c r="BI230" s="177"/>
      <c r="BJ230" s="177"/>
    </row>
    <row r="231" spans="2:87" s="76" customFormat="1" x14ac:dyDescent="0.2">
      <c r="B231" s="60" t="s">
        <v>214</v>
      </c>
      <c r="C231" s="106"/>
      <c r="D231" s="106"/>
      <c r="E231" s="106"/>
      <c r="F231" s="106"/>
      <c r="G231" s="106"/>
      <c r="H231" s="106">
        <f>+H224/D224-1</f>
        <v>0.8411214953271029</v>
      </c>
      <c r="I231" s="106">
        <f t="shared" ref="I231:BG235" si="509">+I224/E224-1</f>
        <v>0.89156626506024095</v>
      </c>
      <c r="J231" s="106">
        <f t="shared" si="509"/>
        <v>0.77859778597785967</v>
      </c>
      <c r="K231" s="106">
        <f t="shared" si="509"/>
        <v>0.37621359223300965</v>
      </c>
      <c r="L231" s="106">
        <f t="shared" si="509"/>
        <v>0.3324873096446701</v>
      </c>
      <c r="M231" s="106">
        <f t="shared" si="509"/>
        <v>0.25265392781316343</v>
      </c>
      <c r="N231" s="106">
        <f t="shared" si="509"/>
        <v>0.32157676348547715</v>
      </c>
      <c r="O231" s="106">
        <f t="shared" si="509"/>
        <v>0.37566137566137559</v>
      </c>
      <c r="P231" s="106">
        <f t="shared" si="509"/>
        <v>0.29333333333333322</v>
      </c>
      <c r="Q231" s="106">
        <f t="shared" si="509"/>
        <v>0.43728813559322033</v>
      </c>
      <c r="R231" s="106">
        <f t="shared" si="509"/>
        <v>0.51020408163265296</v>
      </c>
      <c r="S231" s="106">
        <f t="shared" si="509"/>
        <v>0.54615384615384621</v>
      </c>
      <c r="T231" s="106">
        <f t="shared" si="509"/>
        <v>0.7363770250368189</v>
      </c>
      <c r="U231" s="106">
        <f t="shared" si="509"/>
        <v>0.54245283018867929</v>
      </c>
      <c r="V231" s="106">
        <f t="shared" si="509"/>
        <v>0.57380457380457384</v>
      </c>
      <c r="W231" s="106">
        <f t="shared" si="509"/>
        <v>0.54560530679933672</v>
      </c>
      <c r="X231" s="106">
        <f t="shared" si="509"/>
        <v>0.47497879558948264</v>
      </c>
      <c r="Y231" s="106">
        <f t="shared" si="509"/>
        <v>0.50382262996941907</v>
      </c>
      <c r="Z231" s="106">
        <f t="shared" si="509"/>
        <v>0.49009247027741076</v>
      </c>
      <c r="AA231" s="106">
        <f t="shared" si="509"/>
        <v>0.60246781115879822</v>
      </c>
      <c r="AB231" s="106">
        <f t="shared" si="509"/>
        <v>0.57561817136285232</v>
      </c>
      <c r="AC231" s="106">
        <f t="shared" si="509"/>
        <v>0.63294356888662939</v>
      </c>
      <c r="AD231" s="106">
        <f t="shared" si="509"/>
        <v>0.57801418439716312</v>
      </c>
      <c r="AE231" s="106">
        <f t="shared" si="509"/>
        <v>0.52527619685302973</v>
      </c>
      <c r="AF231" s="106">
        <f t="shared" si="509"/>
        <v>0.44817518248175192</v>
      </c>
      <c r="AG231" s="106">
        <f t="shared" si="509"/>
        <v>0.41843088418430874</v>
      </c>
      <c r="AH231" s="106">
        <f t="shared" si="509"/>
        <v>0.41376404494382024</v>
      </c>
      <c r="AI231" s="106">
        <f t="shared" si="509"/>
        <v>0.40298507462686572</v>
      </c>
      <c r="AJ231" s="106">
        <f t="shared" si="509"/>
        <v>0.42817540322580649</v>
      </c>
      <c r="AK231" s="106">
        <f t="shared" si="509"/>
        <v>0.37203687445127298</v>
      </c>
      <c r="AL231" s="106">
        <f t="shared" si="509"/>
        <v>0.32465726207033585</v>
      </c>
      <c r="AM231" s="106">
        <f t="shared" si="509"/>
        <v>0.31930538172715894</v>
      </c>
      <c r="AN231" s="106">
        <f t="shared" si="509"/>
        <v>0.28957120169401795</v>
      </c>
      <c r="AO231" s="106">
        <f t="shared" si="509"/>
        <v>0.29819228923372254</v>
      </c>
      <c r="AP231" s="106">
        <f t="shared" si="509"/>
        <v>0.27298635068246591</v>
      </c>
      <c r="AQ231" s="106">
        <f t="shared" si="509"/>
        <v>0.21522589825684801</v>
      </c>
      <c r="AR231" s="106">
        <f t="shared" si="509"/>
        <v>0.17159277504105086</v>
      </c>
      <c r="AS231" s="106">
        <f t="shared" si="509"/>
        <v>0.14491682070240297</v>
      </c>
      <c r="AT231" s="106">
        <f t="shared" si="509"/>
        <v>0.19441498762813714</v>
      </c>
      <c r="AU231" s="106">
        <f t="shared" si="509"/>
        <v>0.3401639344262295</v>
      </c>
      <c r="AV231" s="106">
        <f t="shared" si="509"/>
        <v>0.448843728100911</v>
      </c>
      <c r="AW231" s="106">
        <f t="shared" si="509"/>
        <v>0.47863523840275546</v>
      </c>
      <c r="AX231" s="106">
        <f t="shared" si="509"/>
        <v>0.34290223932129815</v>
      </c>
      <c r="AY231" s="106">
        <f t="shared" si="509"/>
        <v>0.15232270278141846</v>
      </c>
      <c r="AZ231" s="106">
        <f t="shared" si="509"/>
        <v>2.1442966545747622E-2</v>
      </c>
      <c r="BA231" s="106">
        <f t="shared" si="509"/>
        <v>-3.5594700829815085E-2</v>
      </c>
      <c r="BB231" s="106">
        <f t="shared" si="509"/>
        <v>-4.2459413795636558E-2</v>
      </c>
      <c r="BC231" s="106">
        <f t="shared" si="509"/>
        <v>-1.2005560470112475E-2</v>
      </c>
      <c r="BD231" s="106">
        <f t="shared" si="509"/>
        <v>2.9752979243942823E-2</v>
      </c>
      <c r="BE231" s="106">
        <f t="shared" si="509"/>
        <v>8.8534983772360132E-2</v>
      </c>
      <c r="BF231" s="106">
        <f t="shared" si="509"/>
        <v>0.16532412734944391</v>
      </c>
      <c r="BG231" s="106">
        <f t="shared" si="509"/>
        <v>0.18860322333077506</v>
      </c>
      <c r="BH231" s="106">
        <f t="shared" ref="BH231:BJ235" si="510">+BH224/BD224-1</f>
        <v>0.21275291232372773</v>
      </c>
      <c r="BI231" s="106">
        <f t="shared" si="510"/>
        <v>0.16814588822632093</v>
      </c>
      <c r="BJ231" s="106">
        <f t="shared" si="510"/>
        <v>0.1592495062541146</v>
      </c>
      <c r="BK231" s="106"/>
      <c r="BL231" s="106"/>
      <c r="BM231" s="106"/>
      <c r="BN231" s="106"/>
      <c r="BO231" s="106"/>
      <c r="BP231" s="106"/>
      <c r="BQ231" s="106"/>
      <c r="BR231" s="164" t="str">
        <f>+IFERROR(BR224/BQ224-1,"n/a")</f>
        <v>n/a</v>
      </c>
      <c r="BS231" s="164" t="str">
        <f t="shared" ref="BS231:CG231" si="511">+IFERROR(BS224/BR224-1,"n/a")</f>
        <v>n/a</v>
      </c>
      <c r="BT231" s="164" t="str">
        <f t="shared" si="511"/>
        <v>n/a</v>
      </c>
      <c r="BU231" s="164">
        <f t="shared" si="511"/>
        <v>0.67015706806282727</v>
      </c>
      <c r="BV231" s="164">
        <f t="shared" si="511"/>
        <v>0.32288401253918497</v>
      </c>
      <c r="BW231" s="164">
        <f t="shared" si="511"/>
        <v>0.45932069510268558</v>
      </c>
      <c r="BX231" s="164">
        <f t="shared" si="511"/>
        <v>0.58728010825439791</v>
      </c>
      <c r="BY231" s="164">
        <f t="shared" si="511"/>
        <v>0.52583120204603584</v>
      </c>
      <c r="BZ231" s="164">
        <f t="shared" si="511"/>
        <v>0.57201922002458372</v>
      </c>
      <c r="CA231" s="164">
        <f t="shared" si="511"/>
        <v>0.41804094398635194</v>
      </c>
      <c r="CB231" s="164">
        <f t="shared" si="511"/>
        <v>0.35435360168429497</v>
      </c>
      <c r="CC231" s="164">
        <f t="shared" si="511"/>
        <v>0.26426826560071071</v>
      </c>
      <c r="CD231" s="164">
        <f t="shared" si="511"/>
        <v>0.22150008782715624</v>
      </c>
      <c r="CE231" s="164">
        <f t="shared" si="511"/>
        <v>0.33213498226440419</v>
      </c>
      <c r="CF231" s="164">
        <f t="shared" si="511"/>
        <v>-1.7829513151739751E-2</v>
      </c>
      <c r="CG231" s="164">
        <f t="shared" si="511"/>
        <v>0.12188822333351657</v>
      </c>
      <c r="CH231" s="106"/>
      <c r="CI231" s="106"/>
    </row>
    <row r="232" spans="2:87" s="76" customFormat="1" x14ac:dyDescent="0.2">
      <c r="B232" s="60" t="s">
        <v>215</v>
      </c>
      <c r="C232" s="106"/>
      <c r="D232" s="106"/>
      <c r="E232" s="106"/>
      <c r="F232" s="106"/>
      <c r="G232" s="106"/>
      <c r="H232" s="106">
        <f>+H225/D225-1</f>
        <v>1.3854166666666665</v>
      </c>
      <c r="I232" s="106">
        <f t="shared" si="509"/>
        <v>1.1317829457364339</v>
      </c>
      <c r="J232" s="106">
        <f t="shared" si="509"/>
        <v>1.1641791044776117</v>
      </c>
      <c r="K232" s="106">
        <f t="shared" si="509"/>
        <v>0.65596330275229353</v>
      </c>
      <c r="L232" s="106">
        <f t="shared" si="509"/>
        <v>0.43231441048034935</v>
      </c>
      <c r="M232" s="106">
        <f t="shared" si="509"/>
        <v>0.25818181818181829</v>
      </c>
      <c r="N232" s="106">
        <f t="shared" si="509"/>
        <v>0.17586206896551726</v>
      </c>
      <c r="O232" s="106">
        <f t="shared" si="509"/>
        <v>0.21883656509695282</v>
      </c>
      <c r="P232" s="106">
        <f t="shared" si="509"/>
        <v>0.28963414634146334</v>
      </c>
      <c r="Q232" s="106">
        <f t="shared" si="509"/>
        <v>0.45953757225433534</v>
      </c>
      <c r="R232" s="106">
        <f t="shared" si="509"/>
        <v>0.57771260997067442</v>
      </c>
      <c r="S232" s="106">
        <f t="shared" si="509"/>
        <v>0.65227272727272734</v>
      </c>
      <c r="T232" s="106">
        <f t="shared" si="509"/>
        <v>0.65011820330969261</v>
      </c>
      <c r="U232" s="106">
        <f t="shared" si="509"/>
        <v>0.63168316831683158</v>
      </c>
      <c r="V232" s="106">
        <f t="shared" si="509"/>
        <v>0.56877323420074344</v>
      </c>
      <c r="W232" s="106">
        <f t="shared" si="509"/>
        <v>0.41678129298486932</v>
      </c>
      <c r="X232" s="106">
        <f t="shared" si="509"/>
        <v>0.30085959885386826</v>
      </c>
      <c r="Y232" s="106">
        <f t="shared" si="509"/>
        <v>0.25849514563106801</v>
      </c>
      <c r="Z232" s="106">
        <f t="shared" si="509"/>
        <v>0.28554502369668255</v>
      </c>
      <c r="AA232" s="106">
        <f t="shared" si="509"/>
        <v>0.41359223300970882</v>
      </c>
      <c r="AB232" s="106">
        <f t="shared" si="509"/>
        <v>0.43942731277533031</v>
      </c>
      <c r="AC232" s="106">
        <f t="shared" si="509"/>
        <v>0.52844744455159121</v>
      </c>
      <c r="AD232" s="106">
        <f t="shared" si="509"/>
        <v>0.47926267281105983</v>
      </c>
      <c r="AE232" s="106">
        <f t="shared" si="509"/>
        <v>0.41826923076923084</v>
      </c>
      <c r="AF232" s="106">
        <f t="shared" si="509"/>
        <v>0.45753634276970168</v>
      </c>
      <c r="AG232" s="106">
        <f t="shared" si="509"/>
        <v>0.41451104100946368</v>
      </c>
      <c r="AH232" s="106">
        <f t="shared" si="509"/>
        <v>0.54579439252336459</v>
      </c>
      <c r="AI232" s="106">
        <f t="shared" si="509"/>
        <v>0.57384987893462469</v>
      </c>
      <c r="AJ232" s="106">
        <f t="shared" si="509"/>
        <v>0.59370078740157473</v>
      </c>
      <c r="AK232" s="106">
        <f t="shared" si="509"/>
        <v>0.47279214986619089</v>
      </c>
      <c r="AL232" s="106">
        <f t="shared" si="509"/>
        <v>0.33534864973800893</v>
      </c>
      <c r="AM232" s="106">
        <f t="shared" si="509"/>
        <v>0.27723076923076917</v>
      </c>
      <c r="AN232" s="106">
        <f t="shared" si="509"/>
        <v>0.20223978919631103</v>
      </c>
      <c r="AO232" s="106">
        <f t="shared" si="509"/>
        <v>0.24439733494851601</v>
      </c>
      <c r="AP232" s="106">
        <f t="shared" si="509"/>
        <v>0.24479323875641423</v>
      </c>
      <c r="AQ232" s="106">
        <f t="shared" si="509"/>
        <v>0.24283305227655982</v>
      </c>
      <c r="AR232" s="106">
        <f t="shared" si="509"/>
        <v>0.16547945205479442</v>
      </c>
      <c r="AS232" s="106">
        <f t="shared" si="509"/>
        <v>9.5643708931613558E-2</v>
      </c>
      <c r="AT232" s="106">
        <f t="shared" si="509"/>
        <v>0.23763336566440341</v>
      </c>
      <c r="AU232" s="106">
        <f t="shared" si="509"/>
        <v>0.35898429928280673</v>
      </c>
      <c r="AV232" s="106">
        <f t="shared" si="509"/>
        <v>0.53338034790785138</v>
      </c>
      <c r="AW232" s="106">
        <f t="shared" si="509"/>
        <v>0.61483784984451351</v>
      </c>
      <c r="AX232" s="106">
        <f t="shared" si="509"/>
        <v>0.36265673981191227</v>
      </c>
      <c r="AY232" s="106">
        <f t="shared" si="509"/>
        <v>0.19198402510340884</v>
      </c>
      <c r="AZ232" s="106">
        <f t="shared" si="509"/>
        <v>-5.6722367009044428E-3</v>
      </c>
      <c r="BA232" s="106">
        <f t="shared" si="509"/>
        <v>-0.11251719394773041</v>
      </c>
      <c r="BB232" s="106">
        <f t="shared" si="509"/>
        <v>-0.16649892163910851</v>
      </c>
      <c r="BC232" s="106">
        <f t="shared" si="509"/>
        <v>-0.15639583582625349</v>
      </c>
      <c r="BD232" s="106">
        <f t="shared" si="509"/>
        <v>-2.1739130434782594E-2</v>
      </c>
      <c r="BE232" s="106">
        <f t="shared" si="509"/>
        <v>0.13499690018598876</v>
      </c>
      <c r="BF232" s="106">
        <f t="shared" si="509"/>
        <v>0.34155597722960152</v>
      </c>
      <c r="BG232" s="106">
        <f t="shared" si="509"/>
        <v>0.33914893617021269</v>
      </c>
      <c r="BH232" s="106">
        <f t="shared" si="510"/>
        <v>0.3369582348305753</v>
      </c>
      <c r="BI232" s="106">
        <f t="shared" si="510"/>
        <v>0.26997132322818507</v>
      </c>
      <c r="BJ232" s="106">
        <f t="shared" si="510"/>
        <v>0.22052205220522048</v>
      </c>
      <c r="BK232" s="106"/>
      <c r="BL232" s="106"/>
      <c r="BM232" s="106"/>
      <c r="BN232" s="106"/>
      <c r="BO232" s="106"/>
      <c r="BP232" s="106"/>
      <c r="BQ232" s="106"/>
      <c r="BR232" s="164" t="str">
        <f>+IFERROR(BR225/BQ225-1,"n/a")</f>
        <v>n/a</v>
      </c>
      <c r="BS232" s="164" t="str">
        <f t="shared" ref="BS232:CG232" si="512">+IFERROR(BS225/BR225-1,"n/a")</f>
        <v>n/a</v>
      </c>
      <c r="BT232" s="164" t="str">
        <f t="shared" si="512"/>
        <v>n/a</v>
      </c>
      <c r="BU232" s="164">
        <f t="shared" si="512"/>
        <v>1.0017331022530329</v>
      </c>
      <c r="BV232" s="164">
        <f t="shared" si="512"/>
        <v>0.25974025974025983</v>
      </c>
      <c r="BW232" s="164">
        <f t="shared" si="512"/>
        <v>0.5072164948453608</v>
      </c>
      <c r="BX232" s="164">
        <f t="shared" si="512"/>
        <v>0.54856361149110811</v>
      </c>
      <c r="BY232" s="164">
        <f t="shared" si="512"/>
        <v>0.32096584216725565</v>
      </c>
      <c r="BZ232" s="164">
        <f t="shared" si="512"/>
        <v>0.46277307177886762</v>
      </c>
      <c r="CA232" s="164">
        <f t="shared" si="512"/>
        <v>0.50533373971350204</v>
      </c>
      <c r="CB232" s="164">
        <f t="shared" si="512"/>
        <v>0.39724640615509221</v>
      </c>
      <c r="CC232" s="164">
        <f t="shared" si="512"/>
        <v>0.23474858716128089</v>
      </c>
      <c r="CD232" s="164">
        <f t="shared" si="512"/>
        <v>0.22468020185424242</v>
      </c>
      <c r="CE232" s="164">
        <f t="shared" si="512"/>
        <v>0.3945187101720089</v>
      </c>
      <c r="CF232" s="164">
        <f t="shared" si="512"/>
        <v>-0.11406974746607113</v>
      </c>
      <c r="CG232" s="164">
        <f t="shared" si="512"/>
        <v>0.19782819468683344</v>
      </c>
      <c r="CH232" s="106"/>
      <c r="CI232" s="106"/>
    </row>
    <row r="233" spans="2:87" s="76" customFormat="1" x14ac:dyDescent="0.2">
      <c r="B233" s="60" t="s">
        <v>216</v>
      </c>
      <c r="C233" s="106"/>
      <c r="D233" s="106"/>
      <c r="E233" s="106"/>
      <c r="F233" s="106"/>
      <c r="G233" s="106"/>
      <c r="H233" s="106">
        <f>+H226/D226-1</f>
        <v>1.8181818181818183</v>
      </c>
      <c r="I233" s="106">
        <f t="shared" si="509"/>
        <v>1.6451612903225805</v>
      </c>
      <c r="J233" s="106">
        <f t="shared" si="509"/>
        <v>1.810810810810811</v>
      </c>
      <c r="K233" s="106">
        <f t="shared" si="509"/>
        <v>0.98275862068965525</v>
      </c>
      <c r="L233" s="106">
        <f t="shared" si="509"/>
        <v>0.90322580645161299</v>
      </c>
      <c r="M233" s="106">
        <f t="shared" si="509"/>
        <v>0.64634146341463405</v>
      </c>
      <c r="N233" s="106">
        <f t="shared" si="509"/>
        <v>0.48076923076923084</v>
      </c>
      <c r="O233" s="106">
        <f t="shared" si="509"/>
        <v>0.72173913043478266</v>
      </c>
      <c r="P233" s="106">
        <f t="shared" si="509"/>
        <v>0.66949152542372881</v>
      </c>
      <c r="Q233" s="106">
        <f t="shared" si="509"/>
        <v>0.82962962962962972</v>
      </c>
      <c r="R233" s="106">
        <f t="shared" si="509"/>
        <v>0.80519480519480524</v>
      </c>
      <c r="S233" s="106">
        <f t="shared" si="509"/>
        <v>0.72222222222222232</v>
      </c>
      <c r="T233" s="106">
        <f t="shared" si="509"/>
        <v>0.79695431472081224</v>
      </c>
      <c r="U233" s="106">
        <f t="shared" si="509"/>
        <v>0.74493927125506065</v>
      </c>
      <c r="V233" s="106">
        <f t="shared" si="509"/>
        <v>0.7697841726618706</v>
      </c>
      <c r="W233" s="106">
        <f t="shared" si="509"/>
        <v>0.62463343108504388</v>
      </c>
      <c r="X233" s="106">
        <f t="shared" si="509"/>
        <v>0.53107344632768361</v>
      </c>
      <c r="Y233" s="106">
        <f t="shared" si="509"/>
        <v>0.44547563805104406</v>
      </c>
      <c r="Z233" s="106">
        <f t="shared" si="509"/>
        <v>0.44105691056910579</v>
      </c>
      <c r="AA233" s="106">
        <f t="shared" si="509"/>
        <v>0.53068592057761732</v>
      </c>
      <c r="AB233" s="106">
        <f t="shared" si="509"/>
        <v>0.59040590405904059</v>
      </c>
      <c r="AC233" s="106">
        <f t="shared" si="509"/>
        <v>0.64526484751203861</v>
      </c>
      <c r="AD233" s="106">
        <f t="shared" si="509"/>
        <v>0.62764456981664307</v>
      </c>
      <c r="AE233" s="106">
        <f t="shared" si="509"/>
        <v>0.59080188679245293</v>
      </c>
      <c r="AF233" s="106">
        <f t="shared" si="509"/>
        <v>0.59512761020881677</v>
      </c>
      <c r="AG233" s="106">
        <f t="shared" si="509"/>
        <v>0.5307317073170732</v>
      </c>
      <c r="AH233" s="106">
        <f t="shared" si="509"/>
        <v>0.52512998266897748</v>
      </c>
      <c r="AI233" s="106">
        <f t="shared" si="509"/>
        <v>0.52631578947368429</v>
      </c>
      <c r="AJ233" s="106">
        <f t="shared" si="509"/>
        <v>0.52072727272727271</v>
      </c>
      <c r="AK233" s="106">
        <f t="shared" si="509"/>
        <v>0.47609942638623326</v>
      </c>
      <c r="AL233" s="106">
        <f t="shared" si="509"/>
        <v>0.37613636363636371</v>
      </c>
      <c r="AM233" s="106">
        <f t="shared" si="509"/>
        <v>0.33997085964060214</v>
      </c>
      <c r="AN233" s="106">
        <f t="shared" si="509"/>
        <v>0.2826398852223817</v>
      </c>
      <c r="AO233" s="106">
        <f t="shared" si="509"/>
        <v>0.30051813471502586</v>
      </c>
      <c r="AP233" s="106">
        <f t="shared" si="509"/>
        <v>0.34888521882741541</v>
      </c>
      <c r="AQ233" s="106">
        <f t="shared" si="509"/>
        <v>0.32837984777093143</v>
      </c>
      <c r="AR233" s="106">
        <f t="shared" si="509"/>
        <v>0.21439224459358686</v>
      </c>
      <c r="AS233" s="106">
        <f t="shared" si="509"/>
        <v>0.10922974767596272</v>
      </c>
      <c r="AT233" s="106">
        <f t="shared" si="509"/>
        <v>0.29476584022038566</v>
      </c>
      <c r="AU233" s="106">
        <f t="shared" si="509"/>
        <v>0.30777626193724417</v>
      </c>
      <c r="AV233" s="106">
        <f t="shared" si="509"/>
        <v>0.47037150752225965</v>
      </c>
      <c r="AW233" s="106">
        <f t="shared" si="509"/>
        <v>0.55342711762945229</v>
      </c>
      <c r="AX233" s="106">
        <f t="shared" si="509"/>
        <v>0.29101654846335689</v>
      </c>
      <c r="AY233" s="106">
        <f t="shared" si="509"/>
        <v>0.30273315251408306</v>
      </c>
      <c r="AZ233" s="106">
        <f t="shared" si="509"/>
        <v>0.20254750469826677</v>
      </c>
      <c r="BA233" s="106">
        <f t="shared" si="509"/>
        <v>0.13834296724470141</v>
      </c>
      <c r="BB233" s="106">
        <f t="shared" si="509"/>
        <v>5.8780443142281591E-2</v>
      </c>
      <c r="BC233" s="106">
        <f t="shared" si="509"/>
        <v>-3.1069827033952557E-2</v>
      </c>
      <c r="BD233" s="106">
        <f t="shared" si="509"/>
        <v>3.4901892689703118E-2</v>
      </c>
      <c r="BE233" s="106">
        <f t="shared" si="509"/>
        <v>0.10274204468517256</v>
      </c>
      <c r="BF233" s="106">
        <f t="shared" si="509"/>
        <v>0.19820131442407463</v>
      </c>
      <c r="BG233" s="106">
        <f t="shared" si="509"/>
        <v>0.24165289256198341</v>
      </c>
      <c r="BH233" s="106">
        <f t="shared" si="510"/>
        <v>0.2552013422818793</v>
      </c>
      <c r="BI233" s="106">
        <f t="shared" si="510"/>
        <v>0.21074443591711445</v>
      </c>
      <c r="BJ233" s="106">
        <f t="shared" si="510"/>
        <v>0.18648960739030018</v>
      </c>
      <c r="BK233" s="106"/>
      <c r="BL233" s="106"/>
      <c r="BM233" s="106"/>
      <c r="BN233" s="106"/>
      <c r="BO233" s="106"/>
      <c r="BP233" s="106"/>
      <c r="BQ233" s="106"/>
      <c r="BR233" s="164" t="str">
        <f>+IFERROR(BR226/BQ226-1,"n/a")</f>
        <v>n/a</v>
      </c>
      <c r="BS233" s="164" t="str">
        <f t="shared" ref="BS233:CG233" si="513">+IFERROR(BS226/BR226-1,"n/a")</f>
        <v>n/a</v>
      </c>
      <c r="BT233" s="164" t="str">
        <f t="shared" si="513"/>
        <v>n/a</v>
      </c>
      <c r="BU233" s="164">
        <f t="shared" si="513"/>
        <v>1.4527027027027026</v>
      </c>
      <c r="BV233" s="164">
        <f t="shared" si="513"/>
        <v>0.66666666666666674</v>
      </c>
      <c r="BW233" s="164">
        <f t="shared" si="513"/>
        <v>0.75702479338842976</v>
      </c>
      <c r="BX233" s="164">
        <f t="shared" si="513"/>
        <v>0.72248353715898395</v>
      </c>
      <c r="BY233" s="164">
        <f t="shared" si="513"/>
        <v>0.48661933369743315</v>
      </c>
      <c r="BZ233" s="164">
        <f t="shared" si="513"/>
        <v>0.6127847171197649</v>
      </c>
      <c r="CA233" s="164">
        <f t="shared" si="513"/>
        <v>0.54054669703872427</v>
      </c>
      <c r="CB233" s="164">
        <f t="shared" si="513"/>
        <v>0.41771403223421566</v>
      </c>
      <c r="CC233" s="164">
        <f t="shared" si="513"/>
        <v>0.31685440133500209</v>
      </c>
      <c r="CD233" s="164">
        <f t="shared" si="513"/>
        <v>0.23720893394582609</v>
      </c>
      <c r="CE233" s="164">
        <f t="shared" si="513"/>
        <v>0.38813136162857687</v>
      </c>
      <c r="CF233" s="164">
        <f t="shared" si="513"/>
        <v>8.3702268954067405E-2</v>
      </c>
      <c r="CG233" s="164">
        <f t="shared" si="513"/>
        <v>0.14536788799523381</v>
      </c>
      <c r="CH233" s="106"/>
      <c r="CI233" s="106"/>
    </row>
    <row r="234" spans="2:87" s="76" customFormat="1" ht="13.5" x14ac:dyDescent="0.35">
      <c r="B234" s="60" t="s">
        <v>217</v>
      </c>
      <c r="C234" s="106"/>
      <c r="D234" s="106"/>
      <c r="E234" s="106"/>
      <c r="F234" s="106"/>
      <c r="G234" s="106"/>
      <c r="H234" s="108">
        <f>+H227/D227-1</f>
        <v>2.5384615384615383</v>
      </c>
      <c r="I234" s="108">
        <f t="shared" si="509"/>
        <v>2.0454545454545454</v>
      </c>
      <c r="J234" s="108">
        <f t="shared" si="509"/>
        <v>2.12</v>
      </c>
      <c r="K234" s="108">
        <f t="shared" si="509"/>
        <v>1.0465116279069768</v>
      </c>
      <c r="L234" s="108">
        <f t="shared" si="509"/>
        <v>0.89130434782608692</v>
      </c>
      <c r="M234" s="108">
        <f t="shared" si="509"/>
        <v>0.68656716417910446</v>
      </c>
      <c r="N234" s="108">
        <f t="shared" si="509"/>
        <v>0.66666666666666674</v>
      </c>
      <c r="O234" s="108">
        <f t="shared" si="509"/>
        <v>0.89772727272727271</v>
      </c>
      <c r="P234" s="108">
        <f t="shared" si="509"/>
        <v>0.82758620689655182</v>
      </c>
      <c r="Q234" s="108">
        <f t="shared" si="509"/>
        <v>0.88495575221238942</v>
      </c>
      <c r="R234" s="108">
        <f t="shared" si="509"/>
        <v>0.8307692307692307</v>
      </c>
      <c r="S234" s="108">
        <f t="shared" si="509"/>
        <v>0.86227544910179632</v>
      </c>
      <c r="T234" s="108">
        <f t="shared" si="509"/>
        <v>0.70440251572327051</v>
      </c>
      <c r="U234" s="108">
        <f t="shared" si="509"/>
        <v>0.62910798122065725</v>
      </c>
      <c r="V234" s="108">
        <f t="shared" si="509"/>
        <v>0.48319327731092443</v>
      </c>
      <c r="W234" s="108">
        <f t="shared" si="509"/>
        <v>0.29581993569131826</v>
      </c>
      <c r="X234" s="108">
        <f t="shared" si="509"/>
        <v>0.30627306273062738</v>
      </c>
      <c r="Y234" s="108">
        <f t="shared" si="509"/>
        <v>0.19596541786743527</v>
      </c>
      <c r="Z234" s="108">
        <f t="shared" si="509"/>
        <v>0.27762039660056659</v>
      </c>
      <c r="AA234" s="108">
        <f t="shared" si="509"/>
        <v>0.36476426799007444</v>
      </c>
      <c r="AB234" s="108">
        <f t="shared" si="509"/>
        <v>0.33615819209039555</v>
      </c>
      <c r="AC234" s="108">
        <f t="shared" si="509"/>
        <v>0.47951807228915655</v>
      </c>
      <c r="AD234" s="108">
        <f t="shared" si="509"/>
        <v>0.53215077605321515</v>
      </c>
      <c r="AE234" s="108">
        <f t="shared" si="509"/>
        <v>0.52363636363636368</v>
      </c>
      <c r="AF234" s="108">
        <f t="shared" si="509"/>
        <v>0.65327695560253707</v>
      </c>
      <c r="AG234" s="108">
        <f t="shared" si="509"/>
        <v>0.55211726384364823</v>
      </c>
      <c r="AH234" s="108">
        <f t="shared" si="509"/>
        <v>0.52387843704775694</v>
      </c>
      <c r="AI234" s="108">
        <f t="shared" si="509"/>
        <v>0.51670644391408116</v>
      </c>
      <c r="AJ234" s="108">
        <f t="shared" si="509"/>
        <v>0.49872122762148341</v>
      </c>
      <c r="AK234" s="108">
        <f t="shared" si="509"/>
        <v>0.42917103882476382</v>
      </c>
      <c r="AL234" s="108">
        <f t="shared" si="509"/>
        <v>0.258309591642925</v>
      </c>
      <c r="AM234" s="108">
        <f t="shared" si="509"/>
        <v>0.23603461841070028</v>
      </c>
      <c r="AN234" s="108">
        <f t="shared" si="509"/>
        <v>0.22610921501706494</v>
      </c>
      <c r="AO234" s="108">
        <f t="shared" si="509"/>
        <v>0.21145374449339216</v>
      </c>
      <c r="AP234" s="108">
        <f t="shared" si="509"/>
        <v>0.33886792452830194</v>
      </c>
      <c r="AQ234" s="108">
        <f t="shared" si="509"/>
        <v>0.27943984723106308</v>
      </c>
      <c r="AR234" s="108">
        <f t="shared" si="509"/>
        <v>0.15796798886569241</v>
      </c>
      <c r="AS234" s="108">
        <f t="shared" si="509"/>
        <v>-5.8787878787878833E-2</v>
      </c>
      <c r="AT234" s="108">
        <f t="shared" si="509"/>
        <v>0.12683201803833155</v>
      </c>
      <c r="AU234" s="108">
        <f t="shared" si="509"/>
        <v>0.26069651741293542</v>
      </c>
      <c r="AV234" s="108">
        <f t="shared" si="509"/>
        <v>0.47475961538461542</v>
      </c>
      <c r="AW234" s="108">
        <f t="shared" si="509"/>
        <v>0.85383129426915638</v>
      </c>
      <c r="AX234" s="108">
        <f t="shared" si="509"/>
        <v>0.49124562281140571</v>
      </c>
      <c r="AY234" s="108">
        <f t="shared" si="509"/>
        <v>0.28018942383583267</v>
      </c>
      <c r="AZ234" s="108">
        <f t="shared" si="509"/>
        <v>0.21923390383048091</v>
      </c>
      <c r="BA234" s="108">
        <f t="shared" si="509"/>
        <v>0.11601250434178545</v>
      </c>
      <c r="BB234" s="108">
        <f t="shared" si="509"/>
        <v>3.9919490103991873E-2</v>
      </c>
      <c r="BC234" s="108">
        <f t="shared" si="509"/>
        <v>5.7028360049321769E-2</v>
      </c>
      <c r="BD234" s="108">
        <f t="shared" si="509"/>
        <v>0.10026737967914445</v>
      </c>
      <c r="BE234" s="108">
        <f t="shared" si="509"/>
        <v>0.16370992841581078</v>
      </c>
      <c r="BF234" s="108">
        <f t="shared" si="509"/>
        <v>0.3712903225806452</v>
      </c>
      <c r="BG234" s="108">
        <f t="shared" si="509"/>
        <v>0.3336249635462234</v>
      </c>
      <c r="BH234" s="108">
        <f t="shared" si="510"/>
        <v>0.41767922235722965</v>
      </c>
      <c r="BI234" s="108">
        <f t="shared" si="510"/>
        <v>0.34688419363466161</v>
      </c>
      <c r="BJ234" s="108">
        <f t="shared" si="510"/>
        <v>0.23923782639378977</v>
      </c>
      <c r="BK234" s="108"/>
      <c r="BL234" s="108"/>
      <c r="BM234" s="108"/>
      <c r="BN234" s="108"/>
      <c r="BO234" s="108"/>
      <c r="BP234" s="108"/>
      <c r="BQ234" s="108"/>
      <c r="BR234" s="134" t="str">
        <f>+IFERROR(BR227/BQ227-1,"n/a")</f>
        <v>n/a</v>
      </c>
      <c r="BS234" s="134" t="str">
        <f t="shared" ref="BS234:CG234" si="514">+IFERROR(BS227/BR227-1,"n/a")</f>
        <v>n/a</v>
      </c>
      <c r="BT234" s="134" t="str">
        <f t="shared" si="514"/>
        <v>n/a</v>
      </c>
      <c r="BU234" s="134">
        <f t="shared" si="514"/>
        <v>1.70873786407767</v>
      </c>
      <c r="BV234" s="134">
        <f t="shared" si="514"/>
        <v>0.78136200716845883</v>
      </c>
      <c r="BW234" s="134">
        <f t="shared" si="514"/>
        <v>0.85311871227364189</v>
      </c>
      <c r="BX234" s="134">
        <f t="shared" si="514"/>
        <v>0.49185667752442996</v>
      </c>
      <c r="BY234" s="134">
        <f t="shared" si="514"/>
        <v>0.28820960698689957</v>
      </c>
      <c r="BZ234" s="134">
        <f t="shared" si="514"/>
        <v>0.47796610169491527</v>
      </c>
      <c r="CA234" s="134">
        <f t="shared" si="514"/>
        <v>0.55160550458715596</v>
      </c>
      <c r="CB234" s="134">
        <f t="shared" si="514"/>
        <v>0.33776792313377668</v>
      </c>
      <c r="CC234" s="134">
        <f t="shared" si="514"/>
        <v>0.26537753222836091</v>
      </c>
      <c r="CD234" s="134">
        <f t="shared" si="514"/>
        <v>0.12792897685926352</v>
      </c>
      <c r="CE234" s="134">
        <f t="shared" si="514"/>
        <v>0.49135483870967733</v>
      </c>
      <c r="CF234" s="134">
        <f t="shared" si="514"/>
        <v>0.1017477072157813</v>
      </c>
      <c r="CG234" s="134">
        <f t="shared" si="514"/>
        <v>0.24509188000628246</v>
      </c>
      <c r="CH234" s="108"/>
      <c r="CI234" s="108"/>
    </row>
    <row r="235" spans="2:87" x14ac:dyDescent="0.2">
      <c r="B235" s="101" t="s">
        <v>248</v>
      </c>
      <c r="C235" s="106"/>
      <c r="D235" s="106"/>
      <c r="E235" s="106"/>
      <c r="F235" s="106"/>
      <c r="G235" s="106"/>
      <c r="H235" s="106">
        <f>+H228/D228-1</f>
        <v>1.1188405797101448</v>
      </c>
      <c r="I235" s="106">
        <f t="shared" si="509"/>
        <v>1.0765661252900234</v>
      </c>
      <c r="J235" s="106">
        <f t="shared" si="509"/>
        <v>1.0428265524625266</v>
      </c>
      <c r="K235" s="106">
        <f t="shared" si="509"/>
        <v>0.54719562243502051</v>
      </c>
      <c r="L235" s="106">
        <f t="shared" si="509"/>
        <v>0.44733242134062934</v>
      </c>
      <c r="M235" s="106">
        <f t="shared" si="509"/>
        <v>0.32290502793296083</v>
      </c>
      <c r="N235" s="106">
        <f t="shared" si="509"/>
        <v>0.32285115303983236</v>
      </c>
      <c r="O235" s="106">
        <f t="shared" si="509"/>
        <v>0.40141467727674618</v>
      </c>
      <c r="P235" s="106">
        <f t="shared" si="509"/>
        <v>0.37807183364839325</v>
      </c>
      <c r="Q235" s="106">
        <f t="shared" si="509"/>
        <v>0.53125</v>
      </c>
      <c r="R235" s="106">
        <f t="shared" si="509"/>
        <v>0.59746434231378753</v>
      </c>
      <c r="S235" s="106">
        <f t="shared" si="509"/>
        <v>0.63091482649842279</v>
      </c>
      <c r="T235" s="106">
        <f t="shared" si="509"/>
        <v>0.71604938271604945</v>
      </c>
      <c r="U235" s="106">
        <f t="shared" si="509"/>
        <v>0.60507446221731942</v>
      </c>
      <c r="V235" s="106">
        <f t="shared" si="509"/>
        <v>0.58878968253968256</v>
      </c>
      <c r="W235" s="106">
        <f t="shared" si="509"/>
        <v>0.48974854932301737</v>
      </c>
      <c r="X235" s="106">
        <f t="shared" si="509"/>
        <v>0.4160671462829737</v>
      </c>
      <c r="Y235" s="106">
        <f t="shared" si="509"/>
        <v>0.38900343642611679</v>
      </c>
      <c r="Z235" s="106">
        <f t="shared" si="509"/>
        <v>0.40524508273493609</v>
      </c>
      <c r="AA235" s="106">
        <f t="shared" si="509"/>
        <v>0.516748896390548</v>
      </c>
      <c r="AB235" s="106">
        <f t="shared" si="509"/>
        <v>0.51905165114309915</v>
      </c>
      <c r="AC235" s="106">
        <f t="shared" si="509"/>
        <v>0.5922810489856507</v>
      </c>
      <c r="AD235" s="106">
        <f t="shared" si="509"/>
        <v>0.55743168184847813</v>
      </c>
      <c r="AE235" s="106">
        <f t="shared" si="509"/>
        <v>0.50796096558808412</v>
      </c>
      <c r="AF235" s="106">
        <f t="shared" si="509"/>
        <v>0.49201040505388338</v>
      </c>
      <c r="AG235" s="106">
        <f t="shared" si="509"/>
        <v>0.4481044126786824</v>
      </c>
      <c r="AH235" s="106">
        <f t="shared" si="509"/>
        <v>0.47318116975748925</v>
      </c>
      <c r="AI235" s="106">
        <f t="shared" si="509"/>
        <v>0.47275204359673029</v>
      </c>
      <c r="AJ235" s="106">
        <f t="shared" si="509"/>
        <v>0.49016189290161893</v>
      </c>
      <c r="AK235" s="106">
        <f t="shared" si="509"/>
        <v>0.41963519313304731</v>
      </c>
      <c r="AL235" s="106">
        <f t="shared" si="509"/>
        <v>0.32923404667376777</v>
      </c>
      <c r="AM235" s="106">
        <f t="shared" si="509"/>
        <v>0.30388529139685483</v>
      </c>
      <c r="AN235" s="106">
        <f t="shared" si="509"/>
        <v>0.25998662878154777</v>
      </c>
      <c r="AO235" s="106">
        <f t="shared" si="509"/>
        <v>0.2762451817700855</v>
      </c>
      <c r="AP235" s="106">
        <f t="shared" si="509"/>
        <v>0.2859328331026445</v>
      </c>
      <c r="AQ235" s="106">
        <f t="shared" si="509"/>
        <v>0.2464230814709707</v>
      </c>
      <c r="AR235" s="106">
        <f t="shared" si="509"/>
        <v>0.17642767128739134</v>
      </c>
      <c r="AS235" s="106">
        <f t="shared" si="509"/>
        <v>0.10665640175293145</v>
      </c>
      <c r="AT235" s="106">
        <f t="shared" si="509"/>
        <v>0.21629277135735325</v>
      </c>
      <c r="AU235" s="106">
        <f t="shared" si="509"/>
        <v>0.33156247035385644</v>
      </c>
      <c r="AV235" s="106">
        <f t="shared" si="509"/>
        <v>0.47550318543158365</v>
      </c>
      <c r="AW235" s="106">
        <f t="shared" si="509"/>
        <v>0.5560014983678494</v>
      </c>
      <c r="AX235" s="106">
        <f t="shared" si="509"/>
        <v>0.35118770377270603</v>
      </c>
      <c r="AY235" s="106">
        <f t="shared" si="509"/>
        <v>0.19945141065830718</v>
      </c>
      <c r="AZ235" s="106">
        <f t="shared" si="509"/>
        <v>6.6371174200450911E-2</v>
      </c>
      <c r="BA235" s="106">
        <f t="shared" si="509"/>
        <v>-8.7698180692643568E-3</v>
      </c>
      <c r="BB235" s="106">
        <f t="shared" si="509"/>
        <v>-4.4674250258531556E-2</v>
      </c>
      <c r="BC235" s="106">
        <f t="shared" si="509"/>
        <v>-4.4726916337501144E-2</v>
      </c>
      <c r="BD235" s="106">
        <f t="shared" si="509"/>
        <v>2.6408198366060009E-2</v>
      </c>
      <c r="BE235" s="106">
        <f t="shared" si="509"/>
        <v>0.11022829782804799</v>
      </c>
      <c r="BF235" s="106">
        <f t="shared" si="509"/>
        <v>0.23208486685429741</v>
      </c>
      <c r="BG235" s="106">
        <f t="shared" si="509"/>
        <v>0.24703870666873939</v>
      </c>
      <c r="BH235" s="106">
        <f t="shared" si="510"/>
        <v>0.27264793157619138</v>
      </c>
      <c r="BI235" s="106">
        <f t="shared" si="510"/>
        <v>0.2210069064658271</v>
      </c>
      <c r="BJ235" s="106">
        <f t="shared" si="510"/>
        <v>0.18868974404029748</v>
      </c>
      <c r="BK235" s="106"/>
      <c r="BL235" s="106"/>
      <c r="BM235" s="106"/>
      <c r="BN235" s="106"/>
      <c r="BO235" s="106"/>
      <c r="BP235" s="106"/>
      <c r="BQ235" s="106"/>
      <c r="BR235" s="164">
        <f>+IFERROR(BR228/BQ228-1,"n/a")</f>
        <v>0.77777777777777768</v>
      </c>
      <c r="BS235" s="164">
        <f t="shared" ref="BS235:CG235" si="515">+IFERROR(BS228/BR228-1,"n/a")</f>
        <v>1.8566176470588234</v>
      </c>
      <c r="BT235" s="164">
        <f t="shared" si="515"/>
        <v>1.5405405405405403</v>
      </c>
      <c r="BU235" s="164">
        <f t="shared" si="515"/>
        <v>0.87993920972644379</v>
      </c>
      <c r="BV235" s="164">
        <f t="shared" si="515"/>
        <v>0.37132848288870934</v>
      </c>
      <c r="BW235" s="164">
        <f t="shared" si="515"/>
        <v>0.5468657889565729</v>
      </c>
      <c r="BX235" s="164">
        <f t="shared" si="515"/>
        <v>0.58358739837398366</v>
      </c>
      <c r="BY235" s="164">
        <f t="shared" si="515"/>
        <v>0.43807155462858982</v>
      </c>
      <c r="BZ235" s="164">
        <f t="shared" si="515"/>
        <v>0.54158531823506451</v>
      </c>
      <c r="CA235" s="164">
        <f t="shared" si="515"/>
        <v>0.47087132725430592</v>
      </c>
      <c r="CB235" s="164">
        <f t="shared" si="515"/>
        <v>0.37366232871657368</v>
      </c>
      <c r="CC235" s="164">
        <f t="shared" si="515"/>
        <v>0.26610910132884413</v>
      </c>
      <c r="CD235" s="164">
        <f t="shared" si="515"/>
        <v>0.21597804715900248</v>
      </c>
      <c r="CE235" s="164">
        <f t="shared" si="515"/>
        <v>0.37180978526394148</v>
      </c>
      <c r="CF235" s="164">
        <f t="shared" si="515"/>
        <v>-1.1193175554782941E-2</v>
      </c>
      <c r="CG235" s="164">
        <f t="shared" si="515"/>
        <v>0.15686610810486323</v>
      </c>
      <c r="CH235" s="106"/>
      <c r="CI235" s="106"/>
    </row>
    <row r="236" spans="2:87" x14ac:dyDescent="0.2">
      <c r="B236" s="101"/>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6"/>
      <c r="AU236" s="106"/>
      <c r="AV236" s="106"/>
      <c r="AW236" s="106"/>
      <c r="AX236" s="106"/>
      <c r="AY236" s="106"/>
      <c r="AZ236" s="106"/>
      <c r="BA236" s="106"/>
      <c r="BB236" s="106"/>
      <c r="BC236" s="106"/>
      <c r="BD236" s="106"/>
      <c r="BE236" s="106"/>
      <c r="BF236" s="106"/>
      <c r="BG236" s="106"/>
      <c r="BH236" s="106"/>
      <c r="BI236" s="106"/>
      <c r="BJ236" s="106"/>
      <c r="BK236" s="106"/>
      <c r="BL236" s="106"/>
      <c r="BM236" s="106"/>
      <c r="BN236" s="106"/>
      <c r="BO236" s="106"/>
      <c r="BP236" s="106"/>
      <c r="BQ236" s="106"/>
      <c r="BR236" s="106"/>
      <c r="BS236" s="106"/>
      <c r="BT236" s="106"/>
      <c r="BU236" s="106"/>
      <c r="BV236" s="106"/>
      <c r="BW236" s="106"/>
      <c r="BX236" s="106"/>
      <c r="BY236" s="106"/>
      <c r="BZ236" s="106"/>
      <c r="CA236" s="106"/>
      <c r="CB236" s="106"/>
      <c r="CC236" s="106"/>
      <c r="CD236" s="106"/>
      <c r="CE236" s="106"/>
      <c r="CF236" s="106"/>
      <c r="CG236" s="106"/>
      <c r="CH236" s="106"/>
      <c r="CI236" s="106"/>
    </row>
    <row r="237" spans="2:87" x14ac:dyDescent="0.2">
      <c r="B237" s="54" t="s">
        <v>443</v>
      </c>
      <c r="AP237" s="56"/>
      <c r="AT237" s="56"/>
      <c r="AU237" s="56"/>
      <c r="AV237" s="56"/>
      <c r="AW237" s="56"/>
      <c r="AX237" s="56"/>
      <c r="BB237" s="56"/>
      <c r="BF237" s="56"/>
      <c r="BJ237" s="56"/>
      <c r="CD237" s="56"/>
    </row>
    <row r="238" spans="2:87" x14ac:dyDescent="0.2">
      <c r="B238" t="s">
        <v>214</v>
      </c>
      <c r="D238" s="83" t="s">
        <v>127</v>
      </c>
      <c r="E238" s="83" t="s">
        <v>127</v>
      </c>
      <c r="F238" s="83" t="s">
        <v>127</v>
      </c>
      <c r="G238" s="83" t="s">
        <v>127</v>
      </c>
      <c r="H238" s="83" t="s">
        <v>127</v>
      </c>
      <c r="I238" s="83" t="s">
        <v>127</v>
      </c>
      <c r="J238" s="83" t="s">
        <v>127</v>
      </c>
      <c r="K238" s="83" t="s">
        <v>127</v>
      </c>
      <c r="L238" s="83" t="s">
        <v>127</v>
      </c>
      <c r="M238" s="83" t="s">
        <v>127</v>
      </c>
      <c r="N238" s="83" t="s">
        <v>127</v>
      </c>
      <c r="O238" s="83" t="s">
        <v>127</v>
      </c>
      <c r="P238" s="83" t="s">
        <v>127</v>
      </c>
      <c r="Q238" s="83" t="s">
        <v>127</v>
      </c>
      <c r="R238" s="83" t="s">
        <v>127</v>
      </c>
      <c r="S238" s="83" t="s">
        <v>127</v>
      </c>
      <c r="T238" s="83" t="s">
        <v>127</v>
      </c>
      <c r="U238" s="83" t="s">
        <v>127</v>
      </c>
      <c r="V238" s="83" t="s">
        <v>127</v>
      </c>
      <c r="W238" s="83" t="s">
        <v>127</v>
      </c>
      <c r="X238" s="83" t="s">
        <v>127</v>
      </c>
      <c r="Y238" s="83" t="s">
        <v>127</v>
      </c>
      <c r="Z238" s="83" t="s">
        <v>127</v>
      </c>
      <c r="AA238" s="83" t="s">
        <v>127</v>
      </c>
      <c r="AB238" s="83" t="s">
        <v>127</v>
      </c>
      <c r="AC238" s="83" t="s">
        <v>127</v>
      </c>
      <c r="AD238" s="83" t="s">
        <v>127</v>
      </c>
      <c r="AE238" s="83" t="s">
        <v>127</v>
      </c>
      <c r="AF238" s="81">
        <v>3790</v>
      </c>
      <c r="AG238" s="81">
        <v>4359</v>
      </c>
      <c r="AH238" s="81">
        <v>4823</v>
      </c>
      <c r="AI238" s="81">
        <f>19065-SUM(AF238:AH238)</f>
        <v>6093</v>
      </c>
      <c r="AJ238" s="81">
        <v>5442</v>
      </c>
      <c r="AK238" s="81">
        <v>5982</v>
      </c>
      <c r="AL238" s="81">
        <v>6325</v>
      </c>
      <c r="AM238" s="81">
        <v>7978</v>
      </c>
      <c r="AN238" s="81">
        <v>6777</v>
      </c>
      <c r="AO238" s="81">
        <v>7632</v>
      </c>
      <c r="AP238" s="81">
        <v>8026</v>
      </c>
      <c r="AQ238" s="81">
        <v>9771</v>
      </c>
      <c r="AR238" s="81">
        <v>8012</v>
      </c>
      <c r="AS238" s="81">
        <v>8292</v>
      </c>
      <c r="AT238" s="81">
        <v>9229</v>
      </c>
      <c r="AU238" s="81">
        <v>12900</v>
      </c>
      <c r="AV238" s="81">
        <v>11436</v>
      </c>
      <c r="AW238" s="81">
        <v>12612</v>
      </c>
      <c r="AX238" s="81">
        <v>12668</v>
      </c>
      <c r="AY238" s="81">
        <v>14825</v>
      </c>
      <c r="AZ238" s="81">
        <v>11780</v>
      </c>
      <c r="BA238" s="81">
        <v>12186</v>
      </c>
      <c r="BB238" s="81">
        <v>11966</v>
      </c>
      <c r="BC238" s="81">
        <v>14218</v>
      </c>
      <c r="BD238" s="81">
        <v>11449</v>
      </c>
      <c r="BE238" s="81">
        <v>12404</v>
      </c>
      <c r="BF238" s="81">
        <v>12908</v>
      </c>
      <c r="BG238" s="81">
        <v>16127</v>
      </c>
      <c r="BH238" s="81">
        <v>13646</v>
      </c>
      <c r="BI238" s="81">
        <v>14640</v>
      </c>
      <c r="BJ238" s="81">
        <v>15619</v>
      </c>
      <c r="BK238" s="81"/>
      <c r="BL238" s="81"/>
      <c r="BM238" s="81"/>
      <c r="BN238" s="81"/>
      <c r="BO238" s="81"/>
      <c r="BP238" s="116"/>
      <c r="BQ238" s="83" t="s">
        <v>127</v>
      </c>
      <c r="BR238" s="83" t="s">
        <v>127</v>
      </c>
      <c r="BS238" s="83" t="s">
        <v>127</v>
      </c>
      <c r="BT238" s="83" t="s">
        <v>127</v>
      </c>
      <c r="BU238" s="83" t="s">
        <v>127</v>
      </c>
      <c r="BV238" s="83" t="s">
        <v>127</v>
      </c>
      <c r="BW238" s="83" t="s">
        <v>127</v>
      </c>
      <c r="BX238" s="83" t="s">
        <v>127</v>
      </c>
      <c r="BY238" s="83" t="s">
        <v>127</v>
      </c>
      <c r="BZ238" s="83">
        <v>13432</v>
      </c>
      <c r="CA238" s="64">
        <f>+SUM(AF238:AI238)</f>
        <v>19065</v>
      </c>
      <c r="CB238" s="64">
        <f>+SUM(AJ238:AM238)</f>
        <v>25727</v>
      </c>
      <c r="CC238" s="64">
        <f>+SUM(AN238:AQ238)</f>
        <v>32206</v>
      </c>
      <c r="CD238" s="64">
        <f>+SUM(AR238:AU238)</f>
        <v>38433</v>
      </c>
      <c r="CE238" s="64">
        <f>+SUM(AV238:AY238)</f>
        <v>51541</v>
      </c>
      <c r="CF238" s="64">
        <f>+SUM(AZ238:BC238)</f>
        <v>50150</v>
      </c>
      <c r="CG238" s="64">
        <f>+SUM(BD238:BG238)</f>
        <v>52888</v>
      </c>
      <c r="CH238" s="64"/>
      <c r="CI238" s="64"/>
    </row>
    <row r="239" spans="2:87" x14ac:dyDescent="0.2">
      <c r="B239" t="s">
        <v>215</v>
      </c>
      <c r="D239" s="83" t="s">
        <v>127</v>
      </c>
      <c r="E239" s="83" t="s">
        <v>127</v>
      </c>
      <c r="F239" s="83" t="s">
        <v>127</v>
      </c>
      <c r="G239" s="83" t="s">
        <v>127</v>
      </c>
      <c r="H239" s="83" t="s">
        <v>127</v>
      </c>
      <c r="I239" s="83" t="s">
        <v>127</v>
      </c>
      <c r="J239" s="83" t="s">
        <v>127</v>
      </c>
      <c r="K239" s="83" t="s">
        <v>127</v>
      </c>
      <c r="L239" s="83" t="s">
        <v>127</v>
      </c>
      <c r="M239" s="83" t="s">
        <v>127</v>
      </c>
      <c r="N239" s="83" t="s">
        <v>127</v>
      </c>
      <c r="O239" s="83" t="s">
        <v>127</v>
      </c>
      <c r="P239" s="83" t="s">
        <v>127</v>
      </c>
      <c r="Q239" s="83" t="s">
        <v>127</v>
      </c>
      <c r="R239" s="83" t="s">
        <v>127</v>
      </c>
      <c r="S239" s="83" t="s">
        <v>127</v>
      </c>
      <c r="T239" s="83" t="s">
        <v>127</v>
      </c>
      <c r="U239" s="83" t="s">
        <v>127</v>
      </c>
      <c r="V239" s="83" t="s">
        <v>127</v>
      </c>
      <c r="W239" s="83" t="s">
        <v>127</v>
      </c>
      <c r="X239" s="83" t="s">
        <v>127</v>
      </c>
      <c r="Y239" s="83" t="s">
        <v>127</v>
      </c>
      <c r="Z239" s="83" t="s">
        <v>127</v>
      </c>
      <c r="AA239" s="83" t="s">
        <v>127</v>
      </c>
      <c r="AB239" s="83" t="s">
        <v>127</v>
      </c>
      <c r="AC239" s="83" t="s">
        <v>127</v>
      </c>
      <c r="AD239" s="83" t="s">
        <v>127</v>
      </c>
      <c r="AE239" s="83" t="s">
        <v>127</v>
      </c>
      <c r="AF239" s="81">
        <v>1968</v>
      </c>
      <c r="AG239" s="81">
        <v>2332</v>
      </c>
      <c r="AH239" s="81">
        <v>2546</v>
      </c>
      <c r="AI239" s="81">
        <f>10126-SUM(AF239:AH239)</f>
        <v>3280</v>
      </c>
      <c r="AJ239" s="81">
        <v>3027</v>
      </c>
      <c r="AK239" s="81">
        <v>3307</v>
      </c>
      <c r="AL239" s="81">
        <v>3234</v>
      </c>
      <c r="AM239" s="81">
        <v>4063</v>
      </c>
      <c r="AN239" s="81">
        <v>3624</v>
      </c>
      <c r="AO239" s="81">
        <v>4097</v>
      </c>
      <c r="AP239" s="81">
        <v>4053</v>
      </c>
      <c r="AQ239" s="81">
        <v>5052</v>
      </c>
      <c r="AR239" s="81">
        <v>4150</v>
      </c>
      <c r="AS239" s="81">
        <v>4249</v>
      </c>
      <c r="AT239" s="81">
        <v>5055</v>
      </c>
      <c r="AU239" s="81">
        <v>6895</v>
      </c>
      <c r="AV239" s="81">
        <v>6384</v>
      </c>
      <c r="AW239" s="81">
        <v>7220</v>
      </c>
      <c r="AX239" s="81">
        <v>7018</v>
      </c>
      <c r="AY239" s="81">
        <v>8435</v>
      </c>
      <c r="AZ239" s="81">
        <v>6638</v>
      </c>
      <c r="BA239" s="81">
        <v>6650</v>
      </c>
      <c r="BB239" s="81">
        <v>5996</v>
      </c>
      <c r="BC239" s="81">
        <v>7397</v>
      </c>
      <c r="BD239" s="81">
        <v>6759</v>
      </c>
      <c r="BE239" s="81">
        <v>7515</v>
      </c>
      <c r="BF239" s="81">
        <v>7578</v>
      </c>
      <c r="BG239" s="81">
        <v>9358</v>
      </c>
      <c r="BH239" s="81">
        <v>8404</v>
      </c>
      <c r="BI239" s="81">
        <v>9153</v>
      </c>
      <c r="BJ239" s="81">
        <v>9205</v>
      </c>
      <c r="BK239" s="81"/>
      <c r="BL239" s="81"/>
      <c r="BM239" s="81"/>
      <c r="BN239" s="81"/>
      <c r="BO239" s="81"/>
      <c r="BP239" s="116"/>
      <c r="BQ239" s="83" t="s">
        <v>127</v>
      </c>
      <c r="BR239" s="83" t="s">
        <v>127</v>
      </c>
      <c r="BS239" s="83" t="s">
        <v>127</v>
      </c>
      <c r="BT239" s="83" t="s">
        <v>127</v>
      </c>
      <c r="BU239" s="83" t="s">
        <v>127</v>
      </c>
      <c r="BV239" s="83" t="s">
        <v>127</v>
      </c>
      <c r="BW239" s="83" t="s">
        <v>127</v>
      </c>
      <c r="BX239" s="83" t="s">
        <v>127</v>
      </c>
      <c r="BY239" s="83" t="s">
        <v>127</v>
      </c>
      <c r="BZ239" s="83">
        <v>6792</v>
      </c>
      <c r="CA239" s="64">
        <f>+SUM(AF239:AI239)</f>
        <v>10126</v>
      </c>
      <c r="CB239" s="64">
        <f>+SUM(AJ239:AM239)</f>
        <v>13631</v>
      </c>
      <c r="CC239" s="64">
        <f>+SUM(AN239:AQ239)</f>
        <v>16826</v>
      </c>
      <c r="CD239" s="64">
        <f>+SUM(AR239:AU239)</f>
        <v>20349</v>
      </c>
      <c r="CE239" s="64">
        <f>+SUM(AV239:AY239)</f>
        <v>29057</v>
      </c>
      <c r="CF239" s="64">
        <f>+SUM(AZ239:BC239)</f>
        <v>26681</v>
      </c>
      <c r="CG239" s="64">
        <f>+SUM(BD239:BG239)</f>
        <v>31210</v>
      </c>
      <c r="CH239" s="64"/>
      <c r="CI239" s="64"/>
    </row>
    <row r="240" spans="2:87" x14ac:dyDescent="0.2">
      <c r="B240" t="s">
        <v>216</v>
      </c>
      <c r="D240" s="83" t="s">
        <v>127</v>
      </c>
      <c r="E240" s="83" t="s">
        <v>127</v>
      </c>
      <c r="F240" s="83" t="s">
        <v>127</v>
      </c>
      <c r="G240" s="83" t="s">
        <v>127</v>
      </c>
      <c r="H240" s="83" t="s">
        <v>127</v>
      </c>
      <c r="I240" s="83" t="s">
        <v>127</v>
      </c>
      <c r="J240" s="83" t="s">
        <v>127</v>
      </c>
      <c r="K240" s="83" t="s">
        <v>127</v>
      </c>
      <c r="L240" s="83" t="s">
        <v>127</v>
      </c>
      <c r="M240" s="83" t="s">
        <v>127</v>
      </c>
      <c r="N240" s="83" t="s">
        <v>127</v>
      </c>
      <c r="O240" s="83" t="s">
        <v>127</v>
      </c>
      <c r="P240" s="83" t="s">
        <v>127</v>
      </c>
      <c r="Q240" s="83" t="s">
        <v>127</v>
      </c>
      <c r="R240" s="83" t="s">
        <v>127</v>
      </c>
      <c r="S240" s="83" t="s">
        <v>127</v>
      </c>
      <c r="T240" s="83" t="s">
        <v>127</v>
      </c>
      <c r="U240" s="83" t="s">
        <v>127</v>
      </c>
      <c r="V240" s="83" t="s">
        <v>127</v>
      </c>
      <c r="W240" s="83" t="s">
        <v>127</v>
      </c>
      <c r="X240" s="83" t="s">
        <v>127</v>
      </c>
      <c r="Y240" s="83" t="s">
        <v>127</v>
      </c>
      <c r="Z240" s="83" t="s">
        <v>127</v>
      </c>
      <c r="AA240" s="83" t="s">
        <v>127</v>
      </c>
      <c r="AB240" s="83" t="s">
        <v>127</v>
      </c>
      <c r="AC240" s="83" t="s">
        <v>127</v>
      </c>
      <c r="AD240" s="83" t="s">
        <v>127</v>
      </c>
      <c r="AE240" s="83" t="s">
        <v>127</v>
      </c>
      <c r="AF240" s="81">
        <v>1576</v>
      </c>
      <c r="AG240" s="81">
        <v>1806</v>
      </c>
      <c r="AH240" s="81">
        <v>2042</v>
      </c>
      <c r="AI240" s="81">
        <f>7921-SUM(AF240:AH240)</f>
        <v>2497</v>
      </c>
      <c r="AJ240" s="81">
        <v>2475</v>
      </c>
      <c r="AK240" s="81">
        <v>2772</v>
      </c>
      <c r="AL240" s="81">
        <v>3007</v>
      </c>
      <c r="AM240" s="81">
        <v>3479</v>
      </c>
      <c r="AN240" s="81">
        <v>3337</v>
      </c>
      <c r="AO240" s="81">
        <v>3628</v>
      </c>
      <c r="AP240" s="81">
        <v>3958</v>
      </c>
      <c r="AQ240" s="81">
        <v>4483</v>
      </c>
      <c r="AR240" s="81">
        <v>3971</v>
      </c>
      <c r="AS240" s="81">
        <v>4611</v>
      </c>
      <c r="AT240" s="81">
        <v>5311</v>
      </c>
      <c r="AU240" s="81">
        <v>5955</v>
      </c>
      <c r="AV240" s="81">
        <v>6101</v>
      </c>
      <c r="AW240" s="81">
        <v>6677</v>
      </c>
      <c r="AX240" s="81">
        <v>6592</v>
      </c>
      <c r="AY240" s="81">
        <v>7369</v>
      </c>
      <c r="AZ240" s="81">
        <v>6722</v>
      </c>
      <c r="BA240" s="81">
        <v>6960</v>
      </c>
      <c r="BB240" s="81">
        <v>6797</v>
      </c>
      <c r="BC240" s="81">
        <v>7281</v>
      </c>
      <c r="BD240" s="81">
        <v>7292</v>
      </c>
      <c r="BE240" s="81">
        <v>8551</v>
      </c>
      <c r="BF240" s="81">
        <v>9790</v>
      </c>
      <c r="BG240" s="81">
        <v>10521</v>
      </c>
      <c r="BH240" s="81">
        <v>10312</v>
      </c>
      <c r="BI240" s="81">
        <v>10967</v>
      </c>
      <c r="BJ240" s="81">
        <v>11243</v>
      </c>
      <c r="BK240" s="81"/>
      <c r="BL240" s="81"/>
      <c r="BM240" s="81"/>
      <c r="BN240" s="81"/>
      <c r="BO240" s="81"/>
      <c r="BP240" s="116"/>
      <c r="BQ240" s="83" t="s">
        <v>127</v>
      </c>
      <c r="BR240" s="83" t="s">
        <v>127</v>
      </c>
      <c r="BS240" s="83" t="s">
        <v>127</v>
      </c>
      <c r="BT240" s="83" t="s">
        <v>127</v>
      </c>
      <c r="BU240" s="83" t="s">
        <v>127</v>
      </c>
      <c r="BV240" s="83" t="s">
        <v>127</v>
      </c>
      <c r="BW240" s="83" t="s">
        <v>127</v>
      </c>
      <c r="BX240" s="83" t="s">
        <v>127</v>
      </c>
      <c r="BY240" s="83" t="s">
        <v>127</v>
      </c>
      <c r="BZ240" s="83">
        <v>5037</v>
      </c>
      <c r="CA240" s="64">
        <f>+SUM(AF240:AI240)</f>
        <v>7921</v>
      </c>
      <c r="CB240" s="64">
        <f>+SUM(AJ240:AM240)</f>
        <v>11733</v>
      </c>
      <c r="CC240" s="64">
        <f>+SUM(AN240:AQ240)</f>
        <v>15406</v>
      </c>
      <c r="CD240" s="64">
        <f>+SUM(AR240:AU240)</f>
        <v>19848</v>
      </c>
      <c r="CE240" s="64">
        <f>+SUM(AV240:AY240)</f>
        <v>26739</v>
      </c>
      <c r="CF240" s="64">
        <f>+SUM(AZ240:BC240)</f>
        <v>27760</v>
      </c>
      <c r="CG240" s="64">
        <f>+SUM(BD240:BG240)</f>
        <v>36154</v>
      </c>
      <c r="CH240" s="64"/>
      <c r="CI240" s="64"/>
    </row>
    <row r="241" spans="2:90" ht="13.5" x14ac:dyDescent="0.35">
      <c r="B241" t="s">
        <v>217</v>
      </c>
      <c r="D241" s="85" t="s">
        <v>127</v>
      </c>
      <c r="E241" s="85" t="s">
        <v>127</v>
      </c>
      <c r="F241" s="85" t="s">
        <v>127</v>
      </c>
      <c r="G241" s="85" t="s">
        <v>127</v>
      </c>
      <c r="H241" s="85" t="s">
        <v>127</v>
      </c>
      <c r="I241" s="85" t="s">
        <v>127</v>
      </c>
      <c r="J241" s="85" t="s">
        <v>127</v>
      </c>
      <c r="K241" s="85" t="s">
        <v>127</v>
      </c>
      <c r="L241" s="85" t="s">
        <v>127</v>
      </c>
      <c r="M241" s="85" t="s">
        <v>127</v>
      </c>
      <c r="N241" s="85" t="s">
        <v>127</v>
      </c>
      <c r="O241" s="85" t="s">
        <v>127</v>
      </c>
      <c r="P241" s="85" t="s">
        <v>127</v>
      </c>
      <c r="Q241" s="85" t="s">
        <v>127</v>
      </c>
      <c r="R241" s="85" t="s">
        <v>127</v>
      </c>
      <c r="S241" s="85" t="s">
        <v>127</v>
      </c>
      <c r="T241" s="85" t="s">
        <v>127</v>
      </c>
      <c r="U241" s="85" t="s">
        <v>127</v>
      </c>
      <c r="V241" s="85" t="s">
        <v>127</v>
      </c>
      <c r="W241" s="85" t="s">
        <v>127</v>
      </c>
      <c r="X241" s="85" t="s">
        <v>127</v>
      </c>
      <c r="Y241" s="85" t="s">
        <v>127</v>
      </c>
      <c r="Z241" s="85" t="s">
        <v>127</v>
      </c>
      <c r="AA241" s="85" t="s">
        <v>127</v>
      </c>
      <c r="AB241" s="85" t="s">
        <v>127</v>
      </c>
      <c r="AC241" s="85" t="s">
        <v>127</v>
      </c>
      <c r="AD241" s="85" t="s">
        <v>127</v>
      </c>
      <c r="AE241" s="85" t="s">
        <v>127</v>
      </c>
      <c r="AF241" s="82">
        <v>698</v>
      </c>
      <c r="AG241" s="82">
        <v>824</v>
      </c>
      <c r="AH241" s="82">
        <v>917</v>
      </c>
      <c r="AI241" s="82">
        <f>3541-SUM(AF241:AH241)</f>
        <v>1102</v>
      </c>
      <c r="AJ241" s="82">
        <v>1022</v>
      </c>
      <c r="AK241" s="82">
        <v>1170</v>
      </c>
      <c r="AL241" s="82">
        <v>1161</v>
      </c>
      <c r="AM241" s="82">
        <v>1394</v>
      </c>
      <c r="AN241" s="82">
        <v>1339</v>
      </c>
      <c r="AO241" s="82">
        <v>1529</v>
      </c>
      <c r="AP241" s="82">
        <v>1615</v>
      </c>
      <c r="AQ241" s="82">
        <v>1776</v>
      </c>
      <c r="AR241" s="82">
        <v>1604</v>
      </c>
      <c r="AS241" s="82">
        <v>1535</v>
      </c>
      <c r="AT241" s="82">
        <v>1875</v>
      </c>
      <c r="AU241" s="82">
        <v>2321</v>
      </c>
      <c r="AV241" s="82">
        <v>2250</v>
      </c>
      <c r="AW241" s="82">
        <v>2568</v>
      </c>
      <c r="AX241" s="82">
        <v>2732</v>
      </c>
      <c r="AY241" s="82">
        <v>3042</v>
      </c>
      <c r="AZ241" s="82">
        <v>2768</v>
      </c>
      <c r="BA241" s="82">
        <v>3026</v>
      </c>
      <c r="BB241" s="82">
        <v>2955</v>
      </c>
      <c r="BC241" s="82">
        <v>3269</v>
      </c>
      <c r="BD241" s="82">
        <v>3145</v>
      </c>
      <c r="BE241" s="82">
        <v>3529</v>
      </c>
      <c r="BF241" s="82">
        <v>3870</v>
      </c>
      <c r="BG241" s="82">
        <v>4106</v>
      </c>
      <c r="BH241" s="82">
        <v>4093</v>
      </c>
      <c r="BI241" s="82">
        <v>4311</v>
      </c>
      <c r="BJ241" s="82">
        <v>4522</v>
      </c>
      <c r="BK241" s="82"/>
      <c r="BL241" s="82"/>
      <c r="BM241" s="82"/>
      <c r="BN241" s="82"/>
      <c r="BO241" s="82"/>
      <c r="BP241" s="116"/>
      <c r="BQ241" s="85" t="s">
        <v>127</v>
      </c>
      <c r="BR241" s="85" t="s">
        <v>127</v>
      </c>
      <c r="BS241" s="85" t="s">
        <v>127</v>
      </c>
      <c r="BT241" s="85" t="s">
        <v>127</v>
      </c>
      <c r="BU241" s="85" t="s">
        <v>127</v>
      </c>
      <c r="BV241" s="85" t="s">
        <v>127</v>
      </c>
      <c r="BW241" s="85" t="s">
        <v>127</v>
      </c>
      <c r="BX241" s="85" t="s">
        <v>127</v>
      </c>
      <c r="BY241" s="85" t="s">
        <v>127</v>
      </c>
      <c r="BZ241" s="85">
        <v>2377</v>
      </c>
      <c r="CA241" s="65">
        <f>+SUM(AF241:AI241)</f>
        <v>3541</v>
      </c>
      <c r="CB241" s="65">
        <f>+SUM(AJ241:AM241)</f>
        <v>4747</v>
      </c>
      <c r="CC241" s="65">
        <f>+SUM(AN241:AQ241)</f>
        <v>6259</v>
      </c>
      <c r="CD241" s="65">
        <f>+SUM(AR241:AU241)</f>
        <v>7335</v>
      </c>
      <c r="CE241" s="65">
        <f>+SUM(AV241:AY241)</f>
        <v>10592</v>
      </c>
      <c r="CF241" s="65">
        <f>+SUM(AZ241:BC241)</f>
        <v>12018</v>
      </c>
      <c r="CG241" s="65">
        <f>+SUM(BD241:BG241)</f>
        <v>14650</v>
      </c>
      <c r="CH241" s="65"/>
      <c r="CI241" s="65"/>
    </row>
    <row r="242" spans="2:90" s="44" customFormat="1" x14ac:dyDescent="0.2">
      <c r="B242" s="110" t="s">
        <v>248</v>
      </c>
      <c r="D242" s="212">
        <f>+D228</f>
        <v>345</v>
      </c>
      <c r="E242" s="212">
        <f t="shared" ref="E242:AE242" si="516">+E228</f>
        <v>431</v>
      </c>
      <c r="F242" s="212">
        <f t="shared" si="516"/>
        <v>467</v>
      </c>
      <c r="G242" s="212">
        <f t="shared" si="516"/>
        <v>731</v>
      </c>
      <c r="H242" s="212">
        <f t="shared" si="516"/>
        <v>731</v>
      </c>
      <c r="I242" s="212">
        <f t="shared" si="516"/>
        <v>895</v>
      </c>
      <c r="J242" s="212">
        <f t="shared" si="516"/>
        <v>954</v>
      </c>
      <c r="K242" s="212">
        <f t="shared" si="516"/>
        <v>1131</v>
      </c>
      <c r="L242" s="212">
        <f t="shared" si="516"/>
        <v>1058</v>
      </c>
      <c r="M242" s="212">
        <f t="shared" si="516"/>
        <v>1184</v>
      </c>
      <c r="N242" s="212">
        <f t="shared" si="516"/>
        <v>1262</v>
      </c>
      <c r="O242" s="212">
        <f t="shared" si="516"/>
        <v>1585</v>
      </c>
      <c r="P242" s="212">
        <f t="shared" si="516"/>
        <v>1458</v>
      </c>
      <c r="Q242" s="212">
        <f t="shared" si="516"/>
        <v>1813</v>
      </c>
      <c r="R242" s="212">
        <f t="shared" si="516"/>
        <v>2016</v>
      </c>
      <c r="S242" s="212">
        <f t="shared" si="516"/>
        <v>2585</v>
      </c>
      <c r="T242" s="212">
        <f t="shared" si="516"/>
        <v>2502</v>
      </c>
      <c r="U242" s="212">
        <f t="shared" si="516"/>
        <v>2910</v>
      </c>
      <c r="V242" s="212">
        <f t="shared" si="516"/>
        <v>3203</v>
      </c>
      <c r="W242" s="212">
        <f t="shared" si="516"/>
        <v>3851</v>
      </c>
      <c r="X242" s="212">
        <f t="shared" si="516"/>
        <v>3543</v>
      </c>
      <c r="Y242" s="212">
        <f t="shared" si="516"/>
        <v>4042</v>
      </c>
      <c r="Z242" s="212">
        <f t="shared" si="516"/>
        <v>4501</v>
      </c>
      <c r="AA242" s="212">
        <f t="shared" si="516"/>
        <v>5841</v>
      </c>
      <c r="AB242" s="212">
        <f t="shared" si="516"/>
        <v>5382</v>
      </c>
      <c r="AC242" s="212">
        <f t="shared" si="516"/>
        <v>6436</v>
      </c>
      <c r="AD242" s="212">
        <f t="shared" si="516"/>
        <v>7010</v>
      </c>
      <c r="AE242" s="212">
        <f t="shared" si="516"/>
        <v>8808</v>
      </c>
      <c r="AF242" s="111">
        <f t="shared" ref="AF242:AT242" si="517">SUM(AF238:AF241)</f>
        <v>8032</v>
      </c>
      <c r="AG242" s="111">
        <f>SUM(AG238:AG241)</f>
        <v>9321</v>
      </c>
      <c r="AH242" s="111">
        <f>SUM(AH238:AH241)</f>
        <v>10328</v>
      </c>
      <c r="AI242" s="111">
        <f>SUM(AI238:AI241)</f>
        <v>12972</v>
      </c>
      <c r="AJ242" s="111">
        <f t="shared" si="517"/>
        <v>11966</v>
      </c>
      <c r="AK242" s="111">
        <f t="shared" si="517"/>
        <v>13231</v>
      </c>
      <c r="AL242" s="111">
        <f t="shared" si="517"/>
        <v>13727</v>
      </c>
      <c r="AM242" s="111">
        <f t="shared" si="517"/>
        <v>16914</v>
      </c>
      <c r="AN242" s="111">
        <f t="shared" si="517"/>
        <v>15077</v>
      </c>
      <c r="AO242" s="111">
        <f t="shared" si="517"/>
        <v>16886</v>
      </c>
      <c r="AP242" s="111">
        <f t="shared" si="517"/>
        <v>17652</v>
      </c>
      <c r="AQ242" s="111">
        <f t="shared" si="517"/>
        <v>21082</v>
      </c>
      <c r="AR242" s="111">
        <f t="shared" si="517"/>
        <v>17737</v>
      </c>
      <c r="AS242" s="111">
        <f t="shared" si="517"/>
        <v>18687</v>
      </c>
      <c r="AT242" s="111">
        <f t="shared" si="517"/>
        <v>21470</v>
      </c>
      <c r="AU242" s="111">
        <f>SUM(AU238:AU241)</f>
        <v>28071</v>
      </c>
      <c r="AV242" s="111">
        <f>SUM(AV238:AV241)</f>
        <v>26171</v>
      </c>
      <c r="AW242" s="111">
        <f>SUM(AW238:AW241)</f>
        <v>29077</v>
      </c>
      <c r="AX242" s="111">
        <f t="shared" ref="AX242:BH242" si="518">SUM(AX238:AX241)</f>
        <v>29010</v>
      </c>
      <c r="AY242" s="111">
        <f t="shared" si="518"/>
        <v>33671</v>
      </c>
      <c r="AZ242" s="111">
        <f t="shared" si="518"/>
        <v>27908</v>
      </c>
      <c r="BA242" s="111">
        <f t="shared" si="518"/>
        <v>28822</v>
      </c>
      <c r="BB242" s="111">
        <f t="shared" si="518"/>
        <v>27714</v>
      </c>
      <c r="BC242" s="111">
        <f t="shared" si="518"/>
        <v>32165</v>
      </c>
      <c r="BD242" s="111">
        <f t="shared" si="518"/>
        <v>28645</v>
      </c>
      <c r="BE242" s="111">
        <f t="shared" si="518"/>
        <v>31999</v>
      </c>
      <c r="BF242" s="111">
        <f t="shared" si="518"/>
        <v>34146</v>
      </c>
      <c r="BG242" s="111">
        <f t="shared" si="518"/>
        <v>40112</v>
      </c>
      <c r="BH242" s="111">
        <f t="shared" si="518"/>
        <v>36455</v>
      </c>
      <c r="BI242" s="111">
        <f t="shared" ref="BI242" si="519">SUM(BI238:BI241)</f>
        <v>39071</v>
      </c>
      <c r="BJ242" s="111">
        <f>+BJ228</f>
        <v>40589</v>
      </c>
      <c r="BK242" s="111"/>
      <c r="BL242" s="111"/>
      <c r="BM242" s="111"/>
      <c r="BN242" s="111"/>
      <c r="BO242" s="111"/>
      <c r="BQ242" s="212">
        <f>+BQ228</f>
        <v>153</v>
      </c>
      <c r="BR242" s="212">
        <f t="shared" ref="BR242:BY242" si="520">+BR228</f>
        <v>272</v>
      </c>
      <c r="BS242" s="212">
        <f t="shared" si="520"/>
        <v>777</v>
      </c>
      <c r="BT242" s="212">
        <f t="shared" si="520"/>
        <v>1974</v>
      </c>
      <c r="BU242" s="212">
        <f t="shared" si="520"/>
        <v>3711</v>
      </c>
      <c r="BV242" s="212">
        <f t="shared" si="520"/>
        <v>5089</v>
      </c>
      <c r="BW242" s="212">
        <f t="shared" si="520"/>
        <v>7872</v>
      </c>
      <c r="BX242" s="212">
        <f t="shared" si="520"/>
        <v>12466</v>
      </c>
      <c r="BY242" s="212">
        <f t="shared" si="520"/>
        <v>17927</v>
      </c>
      <c r="BZ242" s="111">
        <f t="shared" ref="BZ242:CG242" si="521">SUM(BZ238:BZ241)</f>
        <v>27638</v>
      </c>
      <c r="CA242" s="111">
        <f t="shared" si="521"/>
        <v>40653</v>
      </c>
      <c r="CB242" s="111">
        <f t="shared" si="521"/>
        <v>55838</v>
      </c>
      <c r="CC242" s="111">
        <f t="shared" si="521"/>
        <v>70697</v>
      </c>
      <c r="CD242" s="111">
        <f t="shared" si="521"/>
        <v>85965</v>
      </c>
      <c r="CE242" s="111">
        <f t="shared" si="521"/>
        <v>117929</v>
      </c>
      <c r="CF242" s="111">
        <f t="shared" si="521"/>
        <v>116609</v>
      </c>
      <c r="CG242" s="111">
        <f t="shared" si="521"/>
        <v>134902</v>
      </c>
      <c r="CH242" s="111"/>
      <c r="CI242" s="111"/>
    </row>
    <row r="243" spans="2:90" x14ac:dyDescent="0.2">
      <c r="D243" s="56"/>
      <c r="AJ243" s="64">
        <f t="shared" ref="AJ243" si="522">+AJ242-AJ240</f>
        <v>9491</v>
      </c>
      <c r="AK243" s="64">
        <f t="shared" ref="AK243" si="523">+AK242-AK240</f>
        <v>10459</v>
      </c>
      <c r="AL243" s="64">
        <f t="shared" ref="AL243" si="524">+AL242-AL240</f>
        <v>10720</v>
      </c>
      <c r="AM243" s="64">
        <f t="shared" ref="AM243" si="525">+AM242-AM240</f>
        <v>13435</v>
      </c>
      <c r="AN243" s="64">
        <f t="shared" ref="AN243" si="526">+AN242-AN240</f>
        <v>11740</v>
      </c>
      <c r="AO243" s="64">
        <f t="shared" ref="AO243" si="527">+AO242-AO240</f>
        <v>13258</v>
      </c>
      <c r="AP243" s="64">
        <f t="shared" ref="AP243" si="528">+AP242-AP240</f>
        <v>13694</v>
      </c>
      <c r="AQ243" s="64">
        <f t="shared" ref="AQ243" si="529">+AQ242-AQ240</f>
        <v>16599</v>
      </c>
      <c r="AR243" s="64">
        <f t="shared" ref="AR243" si="530">+AR242-AR240</f>
        <v>13766</v>
      </c>
      <c r="AS243" s="64">
        <f t="shared" ref="AS243" si="531">+AS242-AS240</f>
        <v>14076</v>
      </c>
      <c r="AT243" s="64">
        <f t="shared" ref="AT243" si="532">+AT242-AT240</f>
        <v>16159</v>
      </c>
      <c r="AU243" s="64">
        <f t="shared" ref="AU243" si="533">+AU242-AU240</f>
        <v>22116</v>
      </c>
      <c r="AV243" s="64">
        <f t="shared" ref="AV243" si="534">+AV242-AV240</f>
        <v>20070</v>
      </c>
      <c r="AW243" s="64">
        <f t="shared" ref="AW243" si="535">+AW242-AW240</f>
        <v>22400</v>
      </c>
      <c r="AX243" s="64">
        <f t="shared" ref="AX243" si="536">+AX242-AX240</f>
        <v>22418</v>
      </c>
      <c r="AY243" s="64">
        <f t="shared" ref="AY243" si="537">+AY242-AY240</f>
        <v>26302</v>
      </c>
      <c r="AZ243" s="64">
        <f t="shared" ref="AZ243" si="538">+AZ242-AZ240</f>
        <v>21186</v>
      </c>
      <c r="BA243" s="64">
        <f t="shared" ref="BA243" si="539">+BA242-BA240</f>
        <v>21862</v>
      </c>
      <c r="BB243" s="64">
        <f t="shared" ref="BB243" si="540">+BB242-BB240</f>
        <v>20917</v>
      </c>
      <c r="BC243" s="64">
        <f t="shared" ref="BC243" si="541">+BC242-BC240</f>
        <v>24884</v>
      </c>
      <c r="BD243" s="64">
        <f t="shared" ref="BD243" si="542">+BD242-BD240</f>
        <v>21353</v>
      </c>
      <c r="BE243" s="64">
        <f t="shared" ref="BE243" si="543">+BE242-BE240</f>
        <v>23448</v>
      </c>
      <c r="BF243" s="64">
        <f t="shared" ref="BF243:BI243" si="544">+BF242-BF240</f>
        <v>24356</v>
      </c>
      <c r="BG243" s="64">
        <f t="shared" si="544"/>
        <v>29591</v>
      </c>
      <c r="BH243" s="64">
        <f t="shared" si="544"/>
        <v>26143</v>
      </c>
      <c r="BI243" s="64">
        <f t="shared" si="544"/>
        <v>28104</v>
      </c>
      <c r="BJ243" s="64">
        <f>+BJ242-BJ240</f>
        <v>29346</v>
      </c>
    </row>
    <row r="244" spans="2:90" x14ac:dyDescent="0.2">
      <c r="B244" s="62" t="s">
        <v>17</v>
      </c>
      <c r="AB244" s="164"/>
      <c r="AC244" s="164"/>
      <c r="AD244" s="164"/>
      <c r="AE244" s="164"/>
      <c r="AF244" s="164" t="e">
        <f t="shared" ref="AF244:AJ244" si="545">+AF238/AE238-1</f>
        <v>#VALUE!</v>
      </c>
      <c r="AG244" s="164">
        <f t="shared" si="545"/>
        <v>0.15013192612137205</v>
      </c>
      <c r="AH244" s="164">
        <f t="shared" si="545"/>
        <v>0.10644643266804321</v>
      </c>
      <c r="AI244" s="164">
        <f t="shared" si="545"/>
        <v>0.26332158407630102</v>
      </c>
      <c r="AJ244" s="164">
        <f t="shared" si="545"/>
        <v>-0.10684391925160019</v>
      </c>
      <c r="AK244" s="164">
        <f t="shared" ref="AK244:BI244" si="546">+AK238/AJ238-1</f>
        <v>9.922822491730976E-2</v>
      </c>
      <c r="AL244" s="164">
        <f t="shared" si="546"/>
        <v>5.7338682714811018E-2</v>
      </c>
      <c r="AM244" s="164">
        <f t="shared" si="546"/>
        <v>0.26134387351778665</v>
      </c>
      <c r="AN244" s="164">
        <f t="shared" si="546"/>
        <v>-0.15053898220105288</v>
      </c>
      <c r="AO244" s="164">
        <f t="shared" si="546"/>
        <v>0.12616201859229759</v>
      </c>
      <c r="AP244" s="164">
        <f t="shared" si="546"/>
        <v>5.1624737945492605E-2</v>
      </c>
      <c r="AQ244" s="164">
        <f t="shared" si="546"/>
        <v>0.21741839023174681</v>
      </c>
      <c r="AR244" s="164">
        <f t="shared" si="546"/>
        <v>-0.18002251560740967</v>
      </c>
      <c r="AS244" s="164">
        <f t="shared" si="546"/>
        <v>3.494757863205189E-2</v>
      </c>
      <c r="AT244" s="164">
        <f t="shared" si="546"/>
        <v>0.11300048239266758</v>
      </c>
      <c r="AU244" s="164">
        <f t="shared" si="546"/>
        <v>0.39776790551522367</v>
      </c>
      <c r="AV244" s="164">
        <f t="shared" si="546"/>
        <v>-0.1134883720930232</v>
      </c>
      <c r="AW244" s="164">
        <f t="shared" si="546"/>
        <v>0.10283315844700947</v>
      </c>
      <c r="AX244" s="164">
        <f t="shared" si="546"/>
        <v>4.4402156676182081E-3</v>
      </c>
      <c r="AY244" s="164">
        <f t="shared" si="546"/>
        <v>0.17027155036311958</v>
      </c>
      <c r="AZ244" s="164">
        <f t="shared" si="546"/>
        <v>-0.20539629005059024</v>
      </c>
      <c r="BA244" s="164">
        <f t="shared" si="546"/>
        <v>3.4465195246179858E-2</v>
      </c>
      <c r="BB244" s="164">
        <f t="shared" si="546"/>
        <v>-1.8053504021007694E-2</v>
      </c>
      <c r="BC244" s="164">
        <f t="shared" si="546"/>
        <v>0.1881998997158616</v>
      </c>
      <c r="BD244" s="164">
        <f t="shared" si="546"/>
        <v>-0.19475312983541992</v>
      </c>
      <c r="BE244" s="164">
        <f t="shared" si="546"/>
        <v>8.3413398550091777E-2</v>
      </c>
      <c r="BF244" s="164">
        <f t="shared" si="546"/>
        <v>4.0632054176072296E-2</v>
      </c>
      <c r="BG244" s="164">
        <f t="shared" si="546"/>
        <v>0.24938022931515347</v>
      </c>
      <c r="BH244" s="164">
        <f t="shared" si="546"/>
        <v>-0.15384138401438585</v>
      </c>
      <c r="BI244" s="164">
        <f t="shared" si="546"/>
        <v>7.2841858420049865E-2</v>
      </c>
      <c r="BJ244" s="164">
        <f>+BJ238/BI238-1</f>
        <v>6.6871584699453646E-2</v>
      </c>
      <c r="CK244" t="s">
        <v>86</v>
      </c>
      <c r="CL244" s="99">
        <f>+AH244</f>
        <v>0.10644643266804321</v>
      </c>
    </row>
    <row r="245" spans="2:90" s="76" customFormat="1" x14ac:dyDescent="0.2">
      <c r="B245" s="60" t="s">
        <v>214</v>
      </c>
      <c r="C245" s="106"/>
      <c r="D245" s="106"/>
      <c r="E245" s="106"/>
      <c r="F245" s="106"/>
      <c r="G245" s="106"/>
      <c r="H245" s="164" t="str">
        <f>+IFERROR(H238/D238-1,"n/a")</f>
        <v>n/a</v>
      </c>
      <c r="I245" s="164" t="str">
        <f t="shared" ref="I245:BH249" si="547">+IFERROR(I238/E238-1,"n/a")</f>
        <v>n/a</v>
      </c>
      <c r="J245" s="164" t="str">
        <f t="shared" si="547"/>
        <v>n/a</v>
      </c>
      <c r="K245" s="164" t="str">
        <f t="shared" si="547"/>
        <v>n/a</v>
      </c>
      <c r="L245" s="164" t="str">
        <f t="shared" si="547"/>
        <v>n/a</v>
      </c>
      <c r="M245" s="164" t="str">
        <f t="shared" si="547"/>
        <v>n/a</v>
      </c>
      <c r="N245" s="164" t="str">
        <f t="shared" si="547"/>
        <v>n/a</v>
      </c>
      <c r="O245" s="164" t="str">
        <f t="shared" si="547"/>
        <v>n/a</v>
      </c>
      <c r="P245" s="164" t="str">
        <f t="shared" si="547"/>
        <v>n/a</v>
      </c>
      <c r="Q245" s="164" t="str">
        <f t="shared" si="547"/>
        <v>n/a</v>
      </c>
      <c r="R245" s="164" t="str">
        <f t="shared" si="547"/>
        <v>n/a</v>
      </c>
      <c r="S245" s="164" t="str">
        <f t="shared" si="547"/>
        <v>n/a</v>
      </c>
      <c r="T245" s="164" t="str">
        <f t="shared" si="547"/>
        <v>n/a</v>
      </c>
      <c r="U245" s="164" t="str">
        <f t="shared" si="547"/>
        <v>n/a</v>
      </c>
      <c r="V245" s="164" t="str">
        <f t="shared" si="547"/>
        <v>n/a</v>
      </c>
      <c r="W245" s="164" t="str">
        <f t="shared" si="547"/>
        <v>n/a</v>
      </c>
      <c r="X245" s="164" t="str">
        <f t="shared" si="547"/>
        <v>n/a</v>
      </c>
      <c r="Y245" s="164" t="str">
        <f t="shared" si="547"/>
        <v>n/a</v>
      </c>
      <c r="Z245" s="164" t="str">
        <f t="shared" si="547"/>
        <v>n/a</v>
      </c>
      <c r="AA245" s="164" t="str">
        <f t="shared" si="547"/>
        <v>n/a</v>
      </c>
      <c r="AB245" s="164" t="str">
        <f t="shared" si="547"/>
        <v>n/a</v>
      </c>
      <c r="AC245" s="164" t="str">
        <f t="shared" si="547"/>
        <v>n/a</v>
      </c>
      <c r="AD245" s="164" t="str">
        <f t="shared" si="547"/>
        <v>n/a</v>
      </c>
      <c r="AE245" s="164" t="str">
        <f t="shared" si="547"/>
        <v>n/a</v>
      </c>
      <c r="AF245" s="164" t="str">
        <f t="shared" si="547"/>
        <v>n/a</v>
      </c>
      <c r="AG245" s="164" t="str">
        <f t="shared" si="547"/>
        <v>n/a</v>
      </c>
      <c r="AH245" s="164" t="str">
        <f t="shared" si="547"/>
        <v>n/a</v>
      </c>
      <c r="AI245" s="164" t="str">
        <f t="shared" si="547"/>
        <v>n/a</v>
      </c>
      <c r="AJ245" s="164">
        <f t="shared" si="547"/>
        <v>0.43588390501319263</v>
      </c>
      <c r="AK245" s="164">
        <f t="shared" si="547"/>
        <v>0.37233310392291807</v>
      </c>
      <c r="AL245" s="164">
        <f t="shared" si="547"/>
        <v>0.31142442463197173</v>
      </c>
      <c r="AM245" s="164">
        <f t="shared" si="547"/>
        <v>0.30937140981454125</v>
      </c>
      <c r="AN245" s="164">
        <f t="shared" si="547"/>
        <v>0.24531422271223824</v>
      </c>
      <c r="AO245" s="164">
        <f t="shared" si="547"/>
        <v>0.27582748244734212</v>
      </c>
      <c r="AP245" s="164">
        <f t="shared" si="547"/>
        <v>0.26893280632411076</v>
      </c>
      <c r="AQ245" s="164">
        <f t="shared" si="547"/>
        <v>0.22474304336926543</v>
      </c>
      <c r="AR245" s="164">
        <f t="shared" si="547"/>
        <v>0.18223402685554091</v>
      </c>
      <c r="AS245" s="164">
        <f t="shared" si="547"/>
        <v>8.6477987421383684E-2</v>
      </c>
      <c r="AT245" s="164">
        <f t="shared" si="547"/>
        <v>0.14988786444056812</v>
      </c>
      <c r="AU245" s="164">
        <f t="shared" si="547"/>
        <v>0.32023334356770028</v>
      </c>
      <c r="AV245" s="164">
        <f t="shared" si="547"/>
        <v>0.4273589615576634</v>
      </c>
      <c r="AW245" s="164">
        <f t="shared" si="547"/>
        <v>0.52098408104196814</v>
      </c>
      <c r="AX245" s="164">
        <f t="shared" si="547"/>
        <v>0.37262975403619025</v>
      </c>
      <c r="AY245" s="164">
        <f t="shared" si="547"/>
        <v>0.14922480620155043</v>
      </c>
      <c r="AZ245" s="164">
        <f t="shared" si="547"/>
        <v>3.00804477089891E-2</v>
      </c>
      <c r="BA245" s="164">
        <f t="shared" si="547"/>
        <v>-3.3777354900095147E-2</v>
      </c>
      <c r="BB245" s="164">
        <f t="shared" si="547"/>
        <v>-5.5415219450584141E-2</v>
      </c>
      <c r="BC245" s="164">
        <f t="shared" si="547"/>
        <v>-4.0944350758853276E-2</v>
      </c>
      <c r="BD245" s="164">
        <f t="shared" si="547"/>
        <v>-2.8098471986417684E-2</v>
      </c>
      <c r="BE245" s="164">
        <f t="shared" si="547"/>
        <v>1.7889381257180315E-2</v>
      </c>
      <c r="BF245" s="164">
        <f t="shared" si="547"/>
        <v>7.8723048637807214E-2</v>
      </c>
      <c r="BG245" s="164">
        <f t="shared" si="547"/>
        <v>0.13426642284428181</v>
      </c>
      <c r="BH245" s="164">
        <f t="shared" si="547"/>
        <v>0.1918944886016245</v>
      </c>
      <c r="BI245" s="164">
        <f t="shared" ref="BI245:BJ248" si="548">+IFERROR(BI238/BE238-1,"n/a")</f>
        <v>0.18026443082876487</v>
      </c>
      <c r="BJ245" s="164">
        <f t="shared" si="548"/>
        <v>0.21002479082739378</v>
      </c>
      <c r="BK245" s="106"/>
      <c r="BL245" s="106"/>
      <c r="BM245" s="106"/>
      <c r="BN245" s="106"/>
      <c r="BO245" s="106"/>
      <c r="BP245" s="106"/>
      <c r="BQ245" s="106"/>
      <c r="BR245" s="164" t="str">
        <f t="shared" ref="BR245:CG245" si="549">+IFERROR(BR238/BQ238-1,"n/a")</f>
        <v>n/a</v>
      </c>
      <c r="BS245" s="164" t="str">
        <f t="shared" si="549"/>
        <v>n/a</v>
      </c>
      <c r="BT245" s="164" t="str">
        <f t="shared" si="549"/>
        <v>n/a</v>
      </c>
      <c r="BU245" s="164" t="str">
        <f t="shared" si="549"/>
        <v>n/a</v>
      </c>
      <c r="BV245" s="164" t="str">
        <f t="shared" si="549"/>
        <v>n/a</v>
      </c>
      <c r="BW245" s="164" t="str">
        <f t="shared" si="549"/>
        <v>n/a</v>
      </c>
      <c r="BX245" s="164" t="str">
        <f t="shared" si="549"/>
        <v>n/a</v>
      </c>
      <c r="BY245" s="164" t="str">
        <f t="shared" si="549"/>
        <v>n/a</v>
      </c>
      <c r="BZ245" s="164" t="str">
        <f t="shared" si="549"/>
        <v>n/a</v>
      </c>
      <c r="CA245" s="164">
        <f t="shared" si="549"/>
        <v>0.41937164979154251</v>
      </c>
      <c r="CB245" s="164">
        <f t="shared" si="549"/>
        <v>0.34943613952268548</v>
      </c>
      <c r="CC245" s="164">
        <f t="shared" si="549"/>
        <v>0.25183659190733465</v>
      </c>
      <c r="CD245" s="164">
        <f t="shared" si="549"/>
        <v>0.19334906539154195</v>
      </c>
      <c r="CE245" s="164">
        <f t="shared" si="549"/>
        <v>0.34106106731194541</v>
      </c>
      <c r="CF245" s="164">
        <f t="shared" si="549"/>
        <v>-2.6988222968122422E-2</v>
      </c>
      <c r="CG245" s="164">
        <f t="shared" si="549"/>
        <v>5.4596211365902203E-2</v>
      </c>
      <c r="CH245" s="106"/>
      <c r="CI245" s="106"/>
      <c r="CK245" t="s">
        <v>90</v>
      </c>
      <c r="CL245" s="99">
        <f>+AL244</f>
        <v>5.7338682714811018E-2</v>
      </c>
    </row>
    <row r="246" spans="2:90" s="76" customFormat="1" x14ac:dyDescent="0.2">
      <c r="B246" s="60" t="s">
        <v>215</v>
      </c>
      <c r="C246" s="106"/>
      <c r="D246" s="106"/>
      <c r="E246" s="106"/>
      <c r="F246" s="106"/>
      <c r="G246" s="106"/>
      <c r="H246" s="164" t="str">
        <f>+IFERROR(H239/D239-1,"n/a")</f>
        <v>n/a</v>
      </c>
      <c r="I246" s="164" t="str">
        <f t="shared" si="547"/>
        <v>n/a</v>
      </c>
      <c r="J246" s="164" t="str">
        <f t="shared" si="547"/>
        <v>n/a</v>
      </c>
      <c r="K246" s="164" t="str">
        <f t="shared" si="547"/>
        <v>n/a</v>
      </c>
      <c r="L246" s="164" t="str">
        <f t="shared" si="547"/>
        <v>n/a</v>
      </c>
      <c r="M246" s="164" t="str">
        <f t="shared" si="547"/>
        <v>n/a</v>
      </c>
      <c r="N246" s="164" t="str">
        <f t="shared" si="547"/>
        <v>n/a</v>
      </c>
      <c r="O246" s="164" t="str">
        <f t="shared" si="547"/>
        <v>n/a</v>
      </c>
      <c r="P246" s="164" t="str">
        <f t="shared" si="547"/>
        <v>n/a</v>
      </c>
      <c r="Q246" s="164" t="str">
        <f t="shared" si="547"/>
        <v>n/a</v>
      </c>
      <c r="R246" s="164" t="str">
        <f t="shared" si="547"/>
        <v>n/a</v>
      </c>
      <c r="S246" s="164" t="str">
        <f t="shared" si="547"/>
        <v>n/a</v>
      </c>
      <c r="T246" s="164" t="str">
        <f t="shared" si="547"/>
        <v>n/a</v>
      </c>
      <c r="U246" s="164" t="str">
        <f t="shared" si="547"/>
        <v>n/a</v>
      </c>
      <c r="V246" s="164" t="str">
        <f t="shared" si="547"/>
        <v>n/a</v>
      </c>
      <c r="W246" s="164" t="str">
        <f t="shared" si="547"/>
        <v>n/a</v>
      </c>
      <c r="X246" s="164" t="str">
        <f t="shared" si="547"/>
        <v>n/a</v>
      </c>
      <c r="Y246" s="164" t="str">
        <f t="shared" si="547"/>
        <v>n/a</v>
      </c>
      <c r="Z246" s="164" t="str">
        <f t="shared" si="547"/>
        <v>n/a</v>
      </c>
      <c r="AA246" s="164" t="str">
        <f t="shared" si="547"/>
        <v>n/a</v>
      </c>
      <c r="AB246" s="164" t="str">
        <f t="shared" si="547"/>
        <v>n/a</v>
      </c>
      <c r="AC246" s="164" t="str">
        <f t="shared" si="547"/>
        <v>n/a</v>
      </c>
      <c r="AD246" s="164" t="str">
        <f t="shared" si="547"/>
        <v>n/a</v>
      </c>
      <c r="AE246" s="164" t="str">
        <f t="shared" si="547"/>
        <v>n/a</v>
      </c>
      <c r="AF246" s="164" t="str">
        <f t="shared" si="547"/>
        <v>n/a</v>
      </c>
      <c r="AG246" s="164" t="str">
        <f t="shared" si="547"/>
        <v>n/a</v>
      </c>
      <c r="AH246" s="164" t="str">
        <f t="shared" si="547"/>
        <v>n/a</v>
      </c>
      <c r="AI246" s="164" t="str">
        <f t="shared" si="547"/>
        <v>n/a</v>
      </c>
      <c r="AJ246" s="164">
        <f t="shared" si="547"/>
        <v>0.53810975609756095</v>
      </c>
      <c r="AK246" s="164">
        <f t="shared" si="547"/>
        <v>0.41809605488850776</v>
      </c>
      <c r="AL246" s="164">
        <f t="shared" si="547"/>
        <v>0.27022780832678706</v>
      </c>
      <c r="AM246" s="164">
        <f t="shared" si="547"/>
        <v>0.238719512195122</v>
      </c>
      <c r="AN246" s="164">
        <f t="shared" si="547"/>
        <v>0.19722497522299309</v>
      </c>
      <c r="AO246" s="164">
        <f t="shared" si="547"/>
        <v>0.23888720895071058</v>
      </c>
      <c r="AP246" s="164">
        <f t="shared" si="547"/>
        <v>0.25324675324675328</v>
      </c>
      <c r="AQ246" s="164">
        <f t="shared" si="547"/>
        <v>0.24341619492985478</v>
      </c>
      <c r="AR246" s="164">
        <f t="shared" si="547"/>
        <v>0.14514348785871967</v>
      </c>
      <c r="AS246" s="164">
        <f t="shared" si="547"/>
        <v>3.7100317305345465E-2</v>
      </c>
      <c r="AT246" s="164">
        <f t="shared" si="547"/>
        <v>0.24722427831236127</v>
      </c>
      <c r="AU246" s="164">
        <f t="shared" si="547"/>
        <v>0.36480601741884411</v>
      </c>
      <c r="AV246" s="164">
        <f t="shared" si="547"/>
        <v>0.53831325301204824</v>
      </c>
      <c r="AW246" s="164">
        <f t="shared" si="547"/>
        <v>0.69922334666980457</v>
      </c>
      <c r="AX246" s="164">
        <f t="shared" si="547"/>
        <v>0.38832838773491596</v>
      </c>
      <c r="AY246" s="164">
        <f t="shared" si="547"/>
        <v>0.2233502538071066</v>
      </c>
      <c r="AZ246" s="164">
        <f t="shared" si="547"/>
        <v>3.978696741854626E-2</v>
      </c>
      <c r="BA246" s="164">
        <f t="shared" si="547"/>
        <v>-7.8947368421052655E-2</v>
      </c>
      <c r="BB246" s="164">
        <f t="shared" si="547"/>
        <v>-0.14562553434026793</v>
      </c>
      <c r="BC246" s="164">
        <f t="shared" si="547"/>
        <v>-0.12305868405453468</v>
      </c>
      <c r="BD246" s="164">
        <f t="shared" si="547"/>
        <v>1.8228382042783986E-2</v>
      </c>
      <c r="BE246" s="164">
        <f t="shared" si="547"/>
        <v>0.1300751879699249</v>
      </c>
      <c r="BF246" s="164">
        <f t="shared" si="547"/>
        <v>0.26384256170780529</v>
      </c>
      <c r="BG246" s="164">
        <f t="shared" si="547"/>
        <v>0.26510747600378526</v>
      </c>
      <c r="BH246" s="164">
        <f t="shared" si="547"/>
        <v>0.24337919810622877</v>
      </c>
      <c r="BI246" s="164">
        <f t="shared" si="548"/>
        <v>0.21796407185628741</v>
      </c>
      <c r="BJ246" s="164">
        <f t="shared" si="548"/>
        <v>0.21470044866719462</v>
      </c>
      <c r="BK246" s="106"/>
      <c r="BL246" s="106"/>
      <c r="BM246" s="106"/>
      <c r="BN246" s="106"/>
      <c r="BO246" s="106"/>
      <c r="BP246" s="106"/>
      <c r="BQ246" s="106"/>
      <c r="BR246" s="164" t="str">
        <f t="shared" ref="BR246:CG246" si="550">+IFERROR(BR239/BQ239-1,"n/a")</f>
        <v>n/a</v>
      </c>
      <c r="BS246" s="164" t="str">
        <f t="shared" si="550"/>
        <v>n/a</v>
      </c>
      <c r="BT246" s="164" t="str">
        <f t="shared" si="550"/>
        <v>n/a</v>
      </c>
      <c r="BU246" s="164" t="str">
        <f t="shared" si="550"/>
        <v>n/a</v>
      </c>
      <c r="BV246" s="164" t="str">
        <f t="shared" si="550"/>
        <v>n/a</v>
      </c>
      <c r="BW246" s="164" t="str">
        <f t="shared" si="550"/>
        <v>n/a</v>
      </c>
      <c r="BX246" s="164" t="str">
        <f t="shared" si="550"/>
        <v>n/a</v>
      </c>
      <c r="BY246" s="164" t="str">
        <f t="shared" si="550"/>
        <v>n/a</v>
      </c>
      <c r="BZ246" s="164" t="str">
        <f t="shared" si="550"/>
        <v>n/a</v>
      </c>
      <c r="CA246" s="164">
        <f t="shared" si="550"/>
        <v>0.49087161366313303</v>
      </c>
      <c r="CB246" s="164">
        <f t="shared" si="550"/>
        <v>0.34613865297254587</v>
      </c>
      <c r="CC246" s="164">
        <f t="shared" si="550"/>
        <v>0.23439219426307689</v>
      </c>
      <c r="CD246" s="164">
        <f t="shared" si="550"/>
        <v>0.20937834304053249</v>
      </c>
      <c r="CE246" s="164">
        <f t="shared" si="550"/>
        <v>0.42793257653938777</v>
      </c>
      <c r="CF246" s="164">
        <f t="shared" si="550"/>
        <v>-8.1770313521698723E-2</v>
      </c>
      <c r="CG246" s="164">
        <f t="shared" si="550"/>
        <v>0.16974626138450577</v>
      </c>
      <c r="CH246" s="106"/>
      <c r="CI246" s="106"/>
      <c r="CK246" t="s">
        <v>94</v>
      </c>
      <c r="CL246" s="99">
        <f>+AP244</f>
        <v>5.1624737945492605E-2</v>
      </c>
    </row>
    <row r="247" spans="2:90" s="76" customFormat="1" x14ac:dyDescent="0.2">
      <c r="B247" s="60" t="s">
        <v>216</v>
      </c>
      <c r="C247" s="106"/>
      <c r="D247" s="106"/>
      <c r="E247" s="106"/>
      <c r="F247" s="106"/>
      <c r="G247" s="106"/>
      <c r="H247" s="164" t="str">
        <f>+IFERROR(H240/D240-1,"n/a")</f>
        <v>n/a</v>
      </c>
      <c r="I247" s="164" t="str">
        <f t="shared" si="547"/>
        <v>n/a</v>
      </c>
      <c r="J247" s="164" t="str">
        <f t="shared" si="547"/>
        <v>n/a</v>
      </c>
      <c r="K247" s="164" t="str">
        <f t="shared" si="547"/>
        <v>n/a</v>
      </c>
      <c r="L247" s="164" t="str">
        <f t="shared" si="547"/>
        <v>n/a</v>
      </c>
      <c r="M247" s="164" t="str">
        <f t="shared" si="547"/>
        <v>n/a</v>
      </c>
      <c r="N247" s="164" t="str">
        <f t="shared" si="547"/>
        <v>n/a</v>
      </c>
      <c r="O247" s="164" t="str">
        <f t="shared" si="547"/>
        <v>n/a</v>
      </c>
      <c r="P247" s="164" t="str">
        <f t="shared" si="547"/>
        <v>n/a</v>
      </c>
      <c r="Q247" s="164" t="str">
        <f t="shared" si="547"/>
        <v>n/a</v>
      </c>
      <c r="R247" s="164" t="str">
        <f t="shared" si="547"/>
        <v>n/a</v>
      </c>
      <c r="S247" s="164" t="str">
        <f t="shared" si="547"/>
        <v>n/a</v>
      </c>
      <c r="T247" s="164" t="str">
        <f t="shared" si="547"/>
        <v>n/a</v>
      </c>
      <c r="U247" s="164" t="str">
        <f t="shared" si="547"/>
        <v>n/a</v>
      </c>
      <c r="V247" s="164" t="str">
        <f t="shared" si="547"/>
        <v>n/a</v>
      </c>
      <c r="W247" s="164" t="str">
        <f t="shared" si="547"/>
        <v>n/a</v>
      </c>
      <c r="X247" s="164" t="str">
        <f t="shared" si="547"/>
        <v>n/a</v>
      </c>
      <c r="Y247" s="164" t="str">
        <f t="shared" si="547"/>
        <v>n/a</v>
      </c>
      <c r="Z247" s="164" t="str">
        <f t="shared" si="547"/>
        <v>n/a</v>
      </c>
      <c r="AA247" s="164" t="str">
        <f t="shared" si="547"/>
        <v>n/a</v>
      </c>
      <c r="AB247" s="164" t="str">
        <f t="shared" si="547"/>
        <v>n/a</v>
      </c>
      <c r="AC247" s="164" t="str">
        <f t="shared" si="547"/>
        <v>n/a</v>
      </c>
      <c r="AD247" s="164" t="str">
        <f t="shared" si="547"/>
        <v>n/a</v>
      </c>
      <c r="AE247" s="164" t="str">
        <f t="shared" si="547"/>
        <v>n/a</v>
      </c>
      <c r="AF247" s="164" t="str">
        <f t="shared" si="547"/>
        <v>n/a</v>
      </c>
      <c r="AG247" s="164" t="str">
        <f t="shared" si="547"/>
        <v>n/a</v>
      </c>
      <c r="AH247" s="164" t="str">
        <f t="shared" si="547"/>
        <v>n/a</v>
      </c>
      <c r="AI247" s="164" t="str">
        <f t="shared" si="547"/>
        <v>n/a</v>
      </c>
      <c r="AJ247" s="164">
        <f t="shared" si="547"/>
        <v>0.57043147208121825</v>
      </c>
      <c r="AK247" s="164">
        <f t="shared" si="547"/>
        <v>0.53488372093023262</v>
      </c>
      <c r="AL247" s="164">
        <f t="shared" si="547"/>
        <v>0.47257590597453469</v>
      </c>
      <c r="AM247" s="164">
        <f t="shared" si="547"/>
        <v>0.39327192631157382</v>
      </c>
      <c r="AN247" s="164">
        <f t="shared" si="547"/>
        <v>0.34828282828282831</v>
      </c>
      <c r="AO247" s="164">
        <f t="shared" si="547"/>
        <v>0.30880230880230886</v>
      </c>
      <c r="AP247" s="164">
        <f t="shared" si="547"/>
        <v>0.31626205520452277</v>
      </c>
      <c r="AQ247" s="164">
        <f t="shared" si="547"/>
        <v>0.28858867490658224</v>
      </c>
      <c r="AR247" s="164">
        <f t="shared" si="547"/>
        <v>0.18999100988912199</v>
      </c>
      <c r="AS247" s="164">
        <f t="shared" si="547"/>
        <v>0.27094818081587646</v>
      </c>
      <c r="AT247" s="164">
        <f t="shared" si="547"/>
        <v>0.34183931278423452</v>
      </c>
      <c r="AU247" s="164">
        <f t="shared" si="547"/>
        <v>0.32835155030113761</v>
      </c>
      <c r="AV247" s="164">
        <f t="shared" si="547"/>
        <v>0.5363888189372954</v>
      </c>
      <c r="AW247" s="164">
        <f t="shared" si="547"/>
        <v>0.44805898937323785</v>
      </c>
      <c r="AX247" s="164">
        <f t="shared" si="547"/>
        <v>0.2411975145923555</v>
      </c>
      <c r="AY247" s="164">
        <f t="shared" si="547"/>
        <v>0.23744752308984052</v>
      </c>
      <c r="AZ247" s="164">
        <f t="shared" si="547"/>
        <v>0.1017865923619079</v>
      </c>
      <c r="BA247" s="164">
        <f t="shared" si="547"/>
        <v>4.2384304328291211E-2</v>
      </c>
      <c r="BB247" s="164">
        <f t="shared" si="547"/>
        <v>3.1098300970873849E-2</v>
      </c>
      <c r="BC247" s="164">
        <f t="shared" si="547"/>
        <v>-1.1941918849233235E-2</v>
      </c>
      <c r="BD247" s="164">
        <f t="shared" si="547"/>
        <v>8.4796191609640026E-2</v>
      </c>
      <c r="BE247" s="164">
        <f t="shared" si="547"/>
        <v>0.2285919540229886</v>
      </c>
      <c r="BF247" s="164">
        <f t="shared" si="547"/>
        <v>0.44034132705605411</v>
      </c>
      <c r="BG247" s="164">
        <f t="shared" si="547"/>
        <v>0.44499381953028427</v>
      </c>
      <c r="BH247" s="164">
        <f t="shared" si="547"/>
        <v>0.41415249588590242</v>
      </c>
      <c r="BI247" s="164">
        <f t="shared" si="548"/>
        <v>0.2825400537948779</v>
      </c>
      <c r="BJ247" s="164">
        <f t="shared" si="548"/>
        <v>0.14841675178753833</v>
      </c>
      <c r="BK247" s="106"/>
      <c r="BL247" s="106"/>
      <c r="BM247" s="106"/>
      <c r="BN247" s="106"/>
      <c r="BO247" s="106"/>
      <c r="BP247" s="106"/>
      <c r="BQ247" s="106"/>
      <c r="BR247" s="164" t="str">
        <f t="shared" ref="BR247:CG247" si="551">+IFERROR(BR240/BQ240-1,"n/a")</f>
        <v>n/a</v>
      </c>
      <c r="BS247" s="164" t="str">
        <f t="shared" si="551"/>
        <v>n/a</v>
      </c>
      <c r="BT247" s="164" t="str">
        <f t="shared" si="551"/>
        <v>n/a</v>
      </c>
      <c r="BU247" s="164" t="str">
        <f t="shared" si="551"/>
        <v>n/a</v>
      </c>
      <c r="BV247" s="164" t="str">
        <f t="shared" si="551"/>
        <v>n/a</v>
      </c>
      <c r="BW247" s="164" t="str">
        <f t="shared" si="551"/>
        <v>n/a</v>
      </c>
      <c r="BX247" s="164" t="str">
        <f t="shared" si="551"/>
        <v>n/a</v>
      </c>
      <c r="BY247" s="164" t="str">
        <f t="shared" si="551"/>
        <v>n/a</v>
      </c>
      <c r="BZ247" s="164" t="str">
        <f t="shared" si="551"/>
        <v>n/a</v>
      </c>
      <c r="CA247" s="164">
        <f t="shared" si="551"/>
        <v>0.57256303355171734</v>
      </c>
      <c r="CB247" s="164">
        <f t="shared" si="551"/>
        <v>0.48125236712536301</v>
      </c>
      <c r="CC247" s="164">
        <f t="shared" si="551"/>
        <v>0.31304866615528848</v>
      </c>
      <c r="CD247" s="164">
        <f t="shared" si="551"/>
        <v>0.28832922238089065</v>
      </c>
      <c r="CE247" s="164">
        <f t="shared" si="551"/>
        <v>0.34718863361547769</v>
      </c>
      <c r="CF247" s="164">
        <f t="shared" si="551"/>
        <v>3.8183926100452625E-2</v>
      </c>
      <c r="CG247" s="164">
        <f t="shared" si="551"/>
        <v>0.30237752161383291</v>
      </c>
      <c r="CH247" s="106"/>
      <c r="CI247" s="106"/>
      <c r="CK247" t="s">
        <v>98</v>
      </c>
      <c r="CL247" s="99">
        <f>+AT244</f>
        <v>0.11300048239266758</v>
      </c>
    </row>
    <row r="248" spans="2:90" s="76" customFormat="1" ht="13.5" x14ac:dyDescent="0.35">
      <c r="B248" s="60" t="s">
        <v>217</v>
      </c>
      <c r="C248" s="106"/>
      <c r="D248" s="106"/>
      <c r="E248" s="106"/>
      <c r="F248" s="106"/>
      <c r="G248" s="106"/>
      <c r="H248" s="134" t="str">
        <f>+IFERROR(H241/D241-1,"n/a")</f>
        <v>n/a</v>
      </c>
      <c r="I248" s="134" t="str">
        <f t="shared" si="547"/>
        <v>n/a</v>
      </c>
      <c r="J248" s="134" t="str">
        <f t="shared" si="547"/>
        <v>n/a</v>
      </c>
      <c r="K248" s="134" t="str">
        <f t="shared" si="547"/>
        <v>n/a</v>
      </c>
      <c r="L248" s="134" t="str">
        <f t="shared" si="547"/>
        <v>n/a</v>
      </c>
      <c r="M248" s="134" t="str">
        <f t="shared" si="547"/>
        <v>n/a</v>
      </c>
      <c r="N248" s="134" t="str">
        <f t="shared" si="547"/>
        <v>n/a</v>
      </c>
      <c r="O248" s="134" t="str">
        <f t="shared" si="547"/>
        <v>n/a</v>
      </c>
      <c r="P248" s="134" t="str">
        <f t="shared" si="547"/>
        <v>n/a</v>
      </c>
      <c r="Q248" s="134" t="str">
        <f t="shared" si="547"/>
        <v>n/a</v>
      </c>
      <c r="R248" s="134" t="str">
        <f t="shared" si="547"/>
        <v>n/a</v>
      </c>
      <c r="S248" s="134" t="str">
        <f t="shared" si="547"/>
        <v>n/a</v>
      </c>
      <c r="T248" s="134" t="str">
        <f t="shared" si="547"/>
        <v>n/a</v>
      </c>
      <c r="U248" s="134" t="str">
        <f t="shared" si="547"/>
        <v>n/a</v>
      </c>
      <c r="V248" s="134" t="str">
        <f t="shared" si="547"/>
        <v>n/a</v>
      </c>
      <c r="W248" s="134" t="str">
        <f t="shared" si="547"/>
        <v>n/a</v>
      </c>
      <c r="X248" s="134" t="str">
        <f t="shared" si="547"/>
        <v>n/a</v>
      </c>
      <c r="Y248" s="134" t="str">
        <f t="shared" si="547"/>
        <v>n/a</v>
      </c>
      <c r="Z248" s="134" t="str">
        <f t="shared" si="547"/>
        <v>n/a</v>
      </c>
      <c r="AA248" s="134" t="str">
        <f t="shared" si="547"/>
        <v>n/a</v>
      </c>
      <c r="AB248" s="134" t="str">
        <f t="shared" si="547"/>
        <v>n/a</v>
      </c>
      <c r="AC248" s="134" t="str">
        <f t="shared" si="547"/>
        <v>n/a</v>
      </c>
      <c r="AD248" s="134" t="str">
        <f t="shared" si="547"/>
        <v>n/a</v>
      </c>
      <c r="AE248" s="134" t="str">
        <f t="shared" si="547"/>
        <v>n/a</v>
      </c>
      <c r="AF248" s="134" t="str">
        <f t="shared" si="547"/>
        <v>n/a</v>
      </c>
      <c r="AG248" s="134" t="str">
        <f t="shared" si="547"/>
        <v>n/a</v>
      </c>
      <c r="AH248" s="134" t="str">
        <f t="shared" si="547"/>
        <v>n/a</v>
      </c>
      <c r="AI248" s="134" t="str">
        <f t="shared" si="547"/>
        <v>n/a</v>
      </c>
      <c r="AJ248" s="134">
        <f t="shared" si="547"/>
        <v>0.46418338108882518</v>
      </c>
      <c r="AK248" s="134">
        <f t="shared" si="547"/>
        <v>0.41990291262135915</v>
      </c>
      <c r="AL248" s="134">
        <f t="shared" si="547"/>
        <v>0.26608505997818965</v>
      </c>
      <c r="AM248" s="134">
        <f t="shared" si="547"/>
        <v>0.26497277676951003</v>
      </c>
      <c r="AN248" s="134">
        <f t="shared" si="547"/>
        <v>0.31017612524461846</v>
      </c>
      <c r="AO248" s="134">
        <f t="shared" si="547"/>
        <v>0.30683760683760686</v>
      </c>
      <c r="AP248" s="134">
        <f t="shared" si="547"/>
        <v>0.39104220499569342</v>
      </c>
      <c r="AQ248" s="134">
        <f t="shared" si="547"/>
        <v>0.27403156384505012</v>
      </c>
      <c r="AR248" s="134">
        <f t="shared" si="547"/>
        <v>0.19790888722927558</v>
      </c>
      <c r="AS248" s="134">
        <f t="shared" si="547"/>
        <v>3.9241334205362133E-3</v>
      </c>
      <c r="AT248" s="134">
        <f t="shared" si="547"/>
        <v>0.16099071207430349</v>
      </c>
      <c r="AU248" s="134">
        <f t="shared" si="547"/>
        <v>0.30686936936936937</v>
      </c>
      <c r="AV248" s="134">
        <f t="shared" si="547"/>
        <v>0.40274314214463836</v>
      </c>
      <c r="AW248" s="134">
        <f t="shared" si="547"/>
        <v>0.67296416938110748</v>
      </c>
      <c r="AX248" s="134">
        <f t="shared" si="547"/>
        <v>0.45706666666666673</v>
      </c>
      <c r="AY248" s="134">
        <f t="shared" si="547"/>
        <v>0.31064196467040062</v>
      </c>
      <c r="AZ248" s="134">
        <f t="shared" si="547"/>
        <v>0.23022222222222233</v>
      </c>
      <c r="BA248" s="134">
        <f t="shared" si="547"/>
        <v>0.17834890965732098</v>
      </c>
      <c r="BB248" s="134">
        <f t="shared" si="547"/>
        <v>8.162518301610544E-2</v>
      </c>
      <c r="BC248" s="134">
        <f t="shared" si="547"/>
        <v>7.4621959237343827E-2</v>
      </c>
      <c r="BD248" s="134">
        <f t="shared" si="547"/>
        <v>0.13619942196531798</v>
      </c>
      <c r="BE248" s="134">
        <f t="shared" si="547"/>
        <v>0.16622604097818905</v>
      </c>
      <c r="BF248" s="134">
        <f t="shared" si="547"/>
        <v>0.30964467005076135</v>
      </c>
      <c r="BG248" s="134">
        <f t="shared" si="547"/>
        <v>0.25604160293667788</v>
      </c>
      <c r="BH248" s="134">
        <f t="shared" si="547"/>
        <v>0.30143084260731312</v>
      </c>
      <c r="BI248" s="134">
        <f t="shared" si="548"/>
        <v>0.22159251912723144</v>
      </c>
      <c r="BJ248" s="134">
        <f t="shared" si="548"/>
        <v>0.16847545219638249</v>
      </c>
      <c r="BK248" s="108"/>
      <c r="BL248" s="108"/>
      <c r="BM248" s="108"/>
      <c r="BN248" s="108"/>
      <c r="BO248" s="108"/>
      <c r="BP248" s="108"/>
      <c r="BQ248" s="108"/>
      <c r="BR248" s="134" t="str">
        <f t="shared" ref="BR248:CG248" si="552">+IFERROR(BR241/BQ241-1,"n/a")</f>
        <v>n/a</v>
      </c>
      <c r="BS248" s="134" t="str">
        <f t="shared" si="552"/>
        <v>n/a</v>
      </c>
      <c r="BT248" s="134" t="str">
        <f t="shared" si="552"/>
        <v>n/a</v>
      </c>
      <c r="BU248" s="134" t="str">
        <f t="shared" si="552"/>
        <v>n/a</v>
      </c>
      <c r="BV248" s="134" t="str">
        <f t="shared" si="552"/>
        <v>n/a</v>
      </c>
      <c r="BW248" s="134" t="str">
        <f t="shared" si="552"/>
        <v>n/a</v>
      </c>
      <c r="BX248" s="134" t="str">
        <f t="shared" si="552"/>
        <v>n/a</v>
      </c>
      <c r="BY248" s="134" t="str">
        <f t="shared" si="552"/>
        <v>n/a</v>
      </c>
      <c r="BZ248" s="134" t="str">
        <f t="shared" si="552"/>
        <v>n/a</v>
      </c>
      <c r="CA248" s="134">
        <f t="shared" si="552"/>
        <v>0.48969289019772821</v>
      </c>
      <c r="CB248" s="134">
        <f t="shared" si="552"/>
        <v>0.34058175656594192</v>
      </c>
      <c r="CC248" s="134">
        <f t="shared" si="552"/>
        <v>0.31851695807878655</v>
      </c>
      <c r="CD248" s="134">
        <f t="shared" si="552"/>
        <v>0.17191244607764822</v>
      </c>
      <c r="CE248" s="134">
        <f t="shared" si="552"/>
        <v>0.44403544648943427</v>
      </c>
      <c r="CF248" s="134">
        <f t="shared" si="552"/>
        <v>0.13462990936555896</v>
      </c>
      <c r="CG248" s="134">
        <f t="shared" si="552"/>
        <v>0.21900482609419214</v>
      </c>
      <c r="CH248" s="108"/>
      <c r="CI248" s="108"/>
      <c r="CK248" t="s">
        <v>304</v>
      </c>
      <c r="CL248" s="99">
        <f>+AX244</f>
        <v>4.4402156676182081E-3</v>
      </c>
    </row>
    <row r="249" spans="2:90" x14ac:dyDescent="0.2">
      <c r="B249" s="101" t="s">
        <v>248</v>
      </c>
      <c r="C249" s="106"/>
      <c r="D249" s="106"/>
      <c r="E249" s="106"/>
      <c r="F249" s="106"/>
      <c r="G249" s="106"/>
      <c r="H249" s="164">
        <f>+IFERROR(H242/D242-1,"n/a")</f>
        <v>1.1188405797101448</v>
      </c>
      <c r="I249" s="164">
        <f t="shared" si="547"/>
        <v>1.0765661252900234</v>
      </c>
      <c r="J249" s="164">
        <f t="shared" si="547"/>
        <v>1.0428265524625266</v>
      </c>
      <c r="K249" s="164">
        <f t="shared" si="547"/>
        <v>0.54719562243502051</v>
      </c>
      <c r="L249" s="164">
        <f t="shared" si="547"/>
        <v>0.44733242134062934</v>
      </c>
      <c r="M249" s="164">
        <f t="shared" si="547"/>
        <v>0.32290502793296083</v>
      </c>
      <c r="N249" s="164">
        <f t="shared" si="547"/>
        <v>0.32285115303983236</v>
      </c>
      <c r="O249" s="164">
        <f t="shared" si="547"/>
        <v>0.40141467727674618</v>
      </c>
      <c r="P249" s="164">
        <f t="shared" si="547"/>
        <v>0.37807183364839325</v>
      </c>
      <c r="Q249" s="164">
        <f t="shared" si="547"/>
        <v>0.53125</v>
      </c>
      <c r="R249" s="164">
        <f t="shared" si="547"/>
        <v>0.59746434231378753</v>
      </c>
      <c r="S249" s="164">
        <f t="shared" si="547"/>
        <v>0.63091482649842279</v>
      </c>
      <c r="T249" s="164">
        <f t="shared" si="547"/>
        <v>0.71604938271604945</v>
      </c>
      <c r="U249" s="164">
        <f t="shared" si="547"/>
        <v>0.60507446221731942</v>
      </c>
      <c r="V249" s="164">
        <f t="shared" si="547"/>
        <v>0.58878968253968256</v>
      </c>
      <c r="W249" s="164">
        <f t="shared" si="547"/>
        <v>0.48974854932301737</v>
      </c>
      <c r="X249" s="164">
        <f t="shared" si="547"/>
        <v>0.4160671462829737</v>
      </c>
      <c r="Y249" s="164">
        <f t="shared" si="547"/>
        <v>0.38900343642611679</v>
      </c>
      <c r="Z249" s="164">
        <f t="shared" si="547"/>
        <v>0.40524508273493609</v>
      </c>
      <c r="AA249" s="164">
        <f t="shared" si="547"/>
        <v>0.516748896390548</v>
      </c>
      <c r="AB249" s="164">
        <f t="shared" si="547"/>
        <v>0.51905165114309915</v>
      </c>
      <c r="AC249" s="164">
        <f t="shared" si="547"/>
        <v>0.5922810489856507</v>
      </c>
      <c r="AD249" s="164">
        <f t="shared" si="547"/>
        <v>0.55743168184847813</v>
      </c>
      <c r="AE249" s="164">
        <f t="shared" si="547"/>
        <v>0.50796096558808412</v>
      </c>
      <c r="AF249" s="164">
        <f t="shared" si="547"/>
        <v>0.49238201412114457</v>
      </c>
      <c r="AG249" s="164">
        <f t="shared" si="547"/>
        <v>0.44825978868862637</v>
      </c>
      <c r="AH249" s="164">
        <f t="shared" si="547"/>
        <v>0.47332382310984311</v>
      </c>
      <c r="AI249" s="164">
        <f t="shared" si="547"/>
        <v>0.47275204359673029</v>
      </c>
      <c r="AJ249" s="164">
        <f t="shared" si="547"/>
        <v>0.48979083665338652</v>
      </c>
      <c r="AK249" s="164">
        <f t="shared" si="547"/>
        <v>0.41948288810213485</v>
      </c>
      <c r="AL249" s="164">
        <f t="shared" si="547"/>
        <v>0.32910534469403574</v>
      </c>
      <c r="AM249" s="164">
        <f t="shared" si="547"/>
        <v>0.30388529139685483</v>
      </c>
      <c r="AN249" s="164">
        <f t="shared" si="547"/>
        <v>0.25998662878154777</v>
      </c>
      <c r="AO249" s="164">
        <f t="shared" si="547"/>
        <v>0.2762451817700855</v>
      </c>
      <c r="AP249" s="164">
        <f t="shared" si="547"/>
        <v>0.2859328331026445</v>
      </c>
      <c r="AQ249" s="164">
        <f t="shared" si="547"/>
        <v>0.2464230814709707</v>
      </c>
      <c r="AR249" s="164">
        <f t="shared" si="547"/>
        <v>0.17642767128739134</v>
      </c>
      <c r="AS249" s="164">
        <f t="shared" si="547"/>
        <v>0.10665640175293145</v>
      </c>
      <c r="AT249" s="164">
        <f t="shared" si="547"/>
        <v>0.21629277135735325</v>
      </c>
      <c r="AU249" s="164">
        <f t="shared" si="547"/>
        <v>0.3315150365240489</v>
      </c>
      <c r="AV249" s="164">
        <f t="shared" si="547"/>
        <v>0.47550318543158365</v>
      </c>
      <c r="AW249" s="164">
        <f t="shared" si="547"/>
        <v>0.5560014983678494</v>
      </c>
      <c r="AX249" s="164">
        <f t="shared" si="547"/>
        <v>0.35118770377270603</v>
      </c>
      <c r="AY249" s="164">
        <f t="shared" si="547"/>
        <v>0.19949413985964171</v>
      </c>
      <c r="AZ249" s="164">
        <f t="shared" si="547"/>
        <v>6.6371174200450911E-2</v>
      </c>
      <c r="BA249" s="164">
        <f t="shared" si="547"/>
        <v>-8.7698180692643568E-3</v>
      </c>
      <c r="BB249" s="164">
        <f t="shared" si="547"/>
        <v>-4.4674250258531556E-2</v>
      </c>
      <c r="BC249" s="164">
        <f t="shared" si="547"/>
        <v>-4.4726916337501144E-2</v>
      </c>
      <c r="BD249" s="164">
        <f t="shared" ref="BD249:BJ249" si="553">+IFERROR(BD242/AZ242-1,"n/a")</f>
        <v>2.6408198366060009E-2</v>
      </c>
      <c r="BE249" s="164">
        <f t="shared" si="553"/>
        <v>0.11022829782804799</v>
      </c>
      <c r="BF249" s="164">
        <f t="shared" si="553"/>
        <v>0.23208486685429741</v>
      </c>
      <c r="BG249" s="164">
        <f t="shared" si="553"/>
        <v>0.24706979636250592</v>
      </c>
      <c r="BH249" s="164">
        <f t="shared" si="553"/>
        <v>0.27264793157619138</v>
      </c>
      <c r="BI249" s="164">
        <f t="shared" si="553"/>
        <v>0.2210069064658271</v>
      </c>
      <c r="BJ249" s="164">
        <f t="shared" si="553"/>
        <v>0.18868974404029748</v>
      </c>
      <c r="BK249" s="106"/>
      <c r="BL249" s="106"/>
      <c r="BM249" s="106"/>
      <c r="BN249" s="106"/>
      <c r="BO249" s="106"/>
      <c r="BP249" s="106"/>
      <c r="BQ249" s="106"/>
      <c r="BR249" s="164">
        <f t="shared" ref="BR249:CG249" si="554">+IFERROR(BR242/BQ242-1,"n/a")</f>
        <v>0.77777777777777768</v>
      </c>
      <c r="BS249" s="164">
        <f t="shared" si="554"/>
        <v>1.8566176470588234</v>
      </c>
      <c r="BT249" s="164">
        <f t="shared" si="554"/>
        <v>1.5405405405405403</v>
      </c>
      <c r="BU249" s="164">
        <f t="shared" si="554"/>
        <v>0.87993920972644379</v>
      </c>
      <c r="BV249" s="164">
        <f t="shared" si="554"/>
        <v>0.37132848288870934</v>
      </c>
      <c r="BW249" s="164">
        <f t="shared" si="554"/>
        <v>0.5468657889565729</v>
      </c>
      <c r="BX249" s="164">
        <f t="shared" si="554"/>
        <v>0.58358739837398366</v>
      </c>
      <c r="BY249" s="164">
        <f t="shared" si="554"/>
        <v>0.43807155462858982</v>
      </c>
      <c r="BZ249" s="164">
        <f t="shared" si="554"/>
        <v>0.54169688179840469</v>
      </c>
      <c r="CA249" s="164">
        <f t="shared" si="554"/>
        <v>0.47090961719371882</v>
      </c>
      <c r="CB249" s="164">
        <f t="shared" si="554"/>
        <v>0.37352716896661997</v>
      </c>
      <c r="CC249" s="164">
        <f t="shared" si="554"/>
        <v>0.26610910132884413</v>
      </c>
      <c r="CD249" s="164">
        <f t="shared" si="554"/>
        <v>0.21596390228722573</v>
      </c>
      <c r="CE249" s="164">
        <f t="shared" si="554"/>
        <v>0.37182574303495608</v>
      </c>
      <c r="CF249" s="164">
        <f t="shared" si="554"/>
        <v>-1.1193175554782941E-2</v>
      </c>
      <c r="CG249" s="164">
        <f t="shared" si="554"/>
        <v>0.15687468377226454</v>
      </c>
      <c r="CH249" s="106"/>
      <c r="CI249" s="106"/>
      <c r="CK249" t="s">
        <v>330</v>
      </c>
      <c r="CL249" s="99">
        <f>+BB244</f>
        <v>-1.8053504021007694E-2</v>
      </c>
    </row>
    <row r="250" spans="2:90" x14ac:dyDescent="0.2">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177"/>
      <c r="CK250" t="s">
        <v>358</v>
      </c>
      <c r="CL250" s="99">
        <f>+BF244</f>
        <v>4.0632054176072296E-2</v>
      </c>
    </row>
    <row r="251" spans="2:90" x14ac:dyDescent="0.2">
      <c r="B251" s="54" t="s">
        <v>442</v>
      </c>
      <c r="AB251" s="64"/>
      <c r="AC251" s="64"/>
      <c r="AD251" s="64"/>
      <c r="AE251" s="64"/>
      <c r="AF251" s="64"/>
      <c r="AG251" s="64"/>
      <c r="AH251" s="64"/>
      <c r="AI251" s="64"/>
      <c r="AJ251" s="64"/>
      <c r="AK251" s="64"/>
      <c r="AL251" s="64"/>
      <c r="AM251" s="64"/>
      <c r="AN251" s="64"/>
      <c r="AO251" s="64"/>
      <c r="AP251" s="64"/>
      <c r="AQ251" s="64"/>
      <c r="AR251" s="64"/>
      <c r="AS251" s="64"/>
      <c r="AT251" s="64"/>
      <c r="AU251" s="64"/>
      <c r="AV251" s="64"/>
      <c r="AW251" s="64"/>
      <c r="AX251" s="64"/>
      <c r="AY251" s="64"/>
      <c r="AZ251" s="64"/>
      <c r="BJ251" s="56"/>
      <c r="CK251" t="s">
        <v>490</v>
      </c>
      <c r="CL251" s="99">
        <f>+BJ244</f>
        <v>6.6871584699453646E-2</v>
      </c>
    </row>
    <row r="252" spans="2:90" x14ac:dyDescent="0.2">
      <c r="B252" t="s">
        <v>214</v>
      </c>
      <c r="D252" s="81">
        <v>209</v>
      </c>
      <c r="E252" s="81">
        <v>243</v>
      </c>
      <c r="F252" s="81">
        <v>260</v>
      </c>
      <c r="G252" s="81">
        <v>359</v>
      </c>
      <c r="H252" s="81">
        <v>332</v>
      </c>
      <c r="I252" s="81">
        <v>394</v>
      </c>
      <c r="J252" s="81">
        <v>395</v>
      </c>
      <c r="K252" s="81">
        <v>462</v>
      </c>
      <c r="L252" s="81">
        <v>419</v>
      </c>
      <c r="M252" s="81">
        <v>479</v>
      </c>
      <c r="N252" s="81">
        <v>538</v>
      </c>
      <c r="O252" s="81">
        <v>631</v>
      </c>
      <c r="P252" s="81">
        <v>552</v>
      </c>
      <c r="Q252" s="81">
        <v>721</v>
      </c>
      <c r="R252" s="81">
        <v>832</v>
      </c>
      <c r="S252" s="81">
        <v>1068</v>
      </c>
      <c r="T252" s="81">
        <v>1039</v>
      </c>
      <c r="U252" s="81">
        <v>1175</v>
      </c>
      <c r="V252" s="81">
        <v>1362</v>
      </c>
      <c r="W252" s="81">
        <v>1709</v>
      </c>
      <c r="X252" s="81">
        <v>1592</v>
      </c>
      <c r="Y252" s="81">
        <v>1826</v>
      </c>
      <c r="Z252" s="81">
        <v>2120</v>
      </c>
      <c r="AA252" s="81">
        <v>2847</v>
      </c>
      <c r="AB252" s="81">
        <v>2615</v>
      </c>
      <c r="AC252" s="81">
        <v>3077</v>
      </c>
      <c r="AD252" s="81">
        <v>3431</v>
      </c>
      <c r="AE252" s="81">
        <v>4435</v>
      </c>
      <c r="AF252" s="81">
        <v>3851</v>
      </c>
      <c r="AG252" s="81">
        <v>4450</v>
      </c>
      <c r="AH252" s="81">
        <v>4912</v>
      </c>
      <c r="AI252" s="81">
        <v>6271</v>
      </c>
      <c r="AJ252" s="81">
        <v>5559</v>
      </c>
      <c r="AK252" s="81">
        <v>6137</v>
      </c>
      <c r="AL252" s="81">
        <v>6547</v>
      </c>
      <c r="AM252" s="81">
        <v>8246</v>
      </c>
      <c r="AN252" s="81">
        <v>7203</v>
      </c>
      <c r="AO252" s="81">
        <v>7952</v>
      </c>
      <c r="AP252" s="81">
        <v>8317</v>
      </c>
      <c r="AQ252" s="81">
        <v>10021</v>
      </c>
      <c r="AR252" s="81">
        <v>8379</v>
      </c>
      <c r="AS252" s="81">
        <v>9059</v>
      </c>
      <c r="AT252" s="81">
        <v>9988</v>
      </c>
      <c r="AU252" s="81">
        <v>13150</v>
      </c>
      <c r="AV252" s="81">
        <v>11897</v>
      </c>
      <c r="AW252" s="81">
        <v>13366</v>
      </c>
      <c r="AX252" s="81">
        <v>13094</v>
      </c>
      <c r="AY252" s="81">
        <v>15062</v>
      </c>
      <c r="AZ252" s="81">
        <v>12024</v>
      </c>
      <c r="BA252" s="81">
        <v>12788</v>
      </c>
      <c r="BB252" s="81">
        <v>12766</v>
      </c>
      <c r="BC252" s="81">
        <v>15005</v>
      </c>
      <c r="BD252" s="81">
        <v>12710</v>
      </c>
      <c r="BE252" s="81">
        <v>14131</v>
      </c>
      <c r="BF252" s="81">
        <v>14956</v>
      </c>
      <c r="BG252" s="81">
        <v>17784</v>
      </c>
      <c r="BH252" s="81">
        <v>15451</v>
      </c>
      <c r="BI252" s="81">
        <v>16593</v>
      </c>
      <c r="BJ252" s="81">
        <v>17389</v>
      </c>
      <c r="BK252" s="81"/>
      <c r="BL252" s="81"/>
      <c r="BM252" s="81"/>
      <c r="BN252" s="81"/>
      <c r="BO252" s="81"/>
      <c r="BQ252" s="83" t="s">
        <v>127</v>
      </c>
      <c r="BR252" s="83" t="s">
        <v>127</v>
      </c>
      <c r="BS252" s="83" t="s">
        <v>127</v>
      </c>
      <c r="BT252" s="64">
        <f>+SUM(D252:G252)</f>
        <v>1071</v>
      </c>
      <c r="BU252" s="64">
        <f>+SUM(H252:K252)</f>
        <v>1583</v>
      </c>
      <c r="BV252" s="64">
        <f>+SUM(L252:O252)</f>
        <v>2067</v>
      </c>
      <c r="BW252" s="64">
        <f>+SUM(P252:S252)</f>
        <v>3173</v>
      </c>
      <c r="BX252" s="64">
        <f>+SUM(T252:W252)</f>
        <v>5285</v>
      </c>
      <c r="BY252" s="64">
        <f>+SUM(X252:AA252)</f>
        <v>8385</v>
      </c>
      <c r="BZ252" s="64">
        <f>+SUM(AB252:AE252)</f>
        <v>13558</v>
      </c>
      <c r="CA252" s="64">
        <f>+SUM(AF252:AI252)</f>
        <v>19484</v>
      </c>
      <c r="CB252" s="64">
        <f>+SUM(AJ252:AM252)</f>
        <v>26489</v>
      </c>
      <c r="CC252" s="64">
        <f>+SUM(AN252:AQ252)</f>
        <v>33493</v>
      </c>
      <c r="CD252" s="64">
        <f>+SUM(AR252:AU252)</f>
        <v>40576</v>
      </c>
      <c r="CE252" s="64">
        <f>+SUM(AV252:AY252)</f>
        <v>53419</v>
      </c>
      <c r="CF252" s="64">
        <f>+SUM(AZ252:BC252)</f>
        <v>52583</v>
      </c>
      <c r="CG252" s="64">
        <f>+SUM(BD252:BG252)</f>
        <v>59581</v>
      </c>
      <c r="CH252" s="64"/>
      <c r="CI252" s="64"/>
    </row>
    <row r="253" spans="2:90" x14ac:dyDescent="0.2">
      <c r="B253" t="s">
        <v>215</v>
      </c>
      <c r="D253" s="81">
        <v>96</v>
      </c>
      <c r="E253" s="81">
        <v>128</v>
      </c>
      <c r="F253" s="81">
        <v>130</v>
      </c>
      <c r="G253" s="81">
        <v>201</v>
      </c>
      <c r="H253" s="81">
        <v>206</v>
      </c>
      <c r="I253" s="81">
        <v>245</v>
      </c>
      <c r="J253" s="81">
        <v>245</v>
      </c>
      <c r="K253" s="81">
        <v>306</v>
      </c>
      <c r="L253" s="81">
        <v>274</v>
      </c>
      <c r="M253" s="81">
        <v>294</v>
      </c>
      <c r="N253" s="81">
        <v>295</v>
      </c>
      <c r="O253" s="81">
        <v>374</v>
      </c>
      <c r="P253" s="81">
        <v>367</v>
      </c>
      <c r="Q253" s="81">
        <v>451</v>
      </c>
      <c r="R253" s="81">
        <v>482</v>
      </c>
      <c r="S253" s="81">
        <v>658</v>
      </c>
      <c r="T253" s="81">
        <v>631</v>
      </c>
      <c r="U253" s="81">
        <v>757</v>
      </c>
      <c r="V253" s="81">
        <v>783</v>
      </c>
      <c r="W253" s="81">
        <v>960</v>
      </c>
      <c r="X253" s="81">
        <v>855</v>
      </c>
      <c r="Y253" s="81">
        <v>987</v>
      </c>
      <c r="Z253" s="81">
        <v>1041</v>
      </c>
      <c r="AA253" s="81">
        <v>1413</v>
      </c>
      <c r="AB253" s="81">
        <v>1270</v>
      </c>
      <c r="AC253" s="81">
        <v>1545</v>
      </c>
      <c r="AD253" s="81">
        <v>1563</v>
      </c>
      <c r="AE253" s="81">
        <v>2025</v>
      </c>
      <c r="AF253" s="81">
        <v>1869</v>
      </c>
      <c r="AG253" s="81">
        <v>2209</v>
      </c>
      <c r="AH253" s="81">
        <v>2434</v>
      </c>
      <c r="AI253" s="81">
        <v>3196</v>
      </c>
      <c r="AJ253" s="81">
        <v>2992</v>
      </c>
      <c r="AK253" s="81">
        <v>3247</v>
      </c>
      <c r="AL253" s="81">
        <v>3266</v>
      </c>
      <c r="AM253" s="81">
        <v>4087</v>
      </c>
      <c r="AN253" s="81">
        <v>3609</v>
      </c>
      <c r="AO253" s="81">
        <v>4043</v>
      </c>
      <c r="AP253" s="81">
        <v>4057</v>
      </c>
      <c r="AQ253" s="81">
        <v>5071</v>
      </c>
      <c r="AR253" s="81">
        <v>4171</v>
      </c>
      <c r="AS253" s="81">
        <v>4411</v>
      </c>
      <c r="AT253" s="81">
        <v>5051</v>
      </c>
      <c r="AU253" s="81">
        <v>6822</v>
      </c>
      <c r="AV253" s="81">
        <v>6373</v>
      </c>
      <c r="AW253" s="81">
        <v>7205</v>
      </c>
      <c r="AX253" s="81">
        <v>6821</v>
      </c>
      <c r="AY253" s="81">
        <v>8174</v>
      </c>
      <c r="AZ253" s="81">
        <v>6364</v>
      </c>
      <c r="BA253" s="81">
        <v>6360</v>
      </c>
      <c r="BB253" s="81">
        <v>5707</v>
      </c>
      <c r="BC253" s="81">
        <v>6904</v>
      </c>
      <c r="BD253" s="81">
        <v>6269</v>
      </c>
      <c r="BE253" s="81">
        <v>7268</v>
      </c>
      <c r="BF253" s="81">
        <v>7721</v>
      </c>
      <c r="BG253" s="81">
        <v>9159</v>
      </c>
      <c r="BH253" s="81">
        <v>8327</v>
      </c>
      <c r="BI253" s="81">
        <v>9135</v>
      </c>
      <c r="BJ253" s="81">
        <v>9358</v>
      </c>
      <c r="BK253" s="81"/>
      <c r="BL253" s="81"/>
      <c r="BM253" s="81"/>
      <c r="BN253" s="81"/>
      <c r="BO253" s="81"/>
      <c r="BQ253" s="83" t="s">
        <v>127</v>
      </c>
      <c r="BR253" s="83" t="s">
        <v>127</v>
      </c>
      <c r="BS253" s="83" t="s">
        <v>127</v>
      </c>
      <c r="BT253" s="64">
        <f>+SUM(D253:G253)</f>
        <v>555</v>
      </c>
      <c r="BU253" s="64">
        <f>+SUM(H253:K253)</f>
        <v>1002</v>
      </c>
      <c r="BV253" s="64">
        <f>+SUM(L253:O253)</f>
        <v>1237</v>
      </c>
      <c r="BW253" s="64">
        <f>+SUM(P253:S253)</f>
        <v>1958</v>
      </c>
      <c r="BX253" s="64">
        <f>+SUM(T253:W253)</f>
        <v>3131</v>
      </c>
      <c r="BY253" s="64">
        <f>+SUM(X253:AA253)</f>
        <v>4296</v>
      </c>
      <c r="BZ253" s="64">
        <f>+SUM(AB253:AE253)</f>
        <v>6403</v>
      </c>
      <c r="CA253" s="64">
        <f>+SUM(AF253:AI253)</f>
        <v>9708</v>
      </c>
      <c r="CB253" s="64">
        <f>+SUM(AJ253:AM253)</f>
        <v>13592</v>
      </c>
      <c r="CC253" s="64">
        <f>+SUM(AN253:AQ253)</f>
        <v>16780</v>
      </c>
      <c r="CD253" s="64">
        <f>+SUM(AR253:AU253)</f>
        <v>20455</v>
      </c>
      <c r="CE253" s="64">
        <f>+SUM(AV253:AY253)</f>
        <v>28573</v>
      </c>
      <c r="CF253" s="64">
        <f>+SUM(AZ253:BC253)</f>
        <v>25335</v>
      </c>
      <c r="CG253" s="64">
        <f>+SUM(BD253:BG253)</f>
        <v>30417</v>
      </c>
      <c r="CH253" s="64"/>
      <c r="CI253" s="64"/>
    </row>
    <row r="254" spans="2:90" x14ac:dyDescent="0.2">
      <c r="B254" t="s">
        <v>216</v>
      </c>
      <c r="D254" s="81">
        <v>22</v>
      </c>
      <c r="E254" s="81">
        <v>31</v>
      </c>
      <c r="F254" s="81">
        <v>36</v>
      </c>
      <c r="G254" s="81">
        <v>53</v>
      </c>
      <c r="H254" s="81">
        <v>56</v>
      </c>
      <c r="I254" s="81">
        <v>74</v>
      </c>
      <c r="J254" s="81">
        <v>88</v>
      </c>
      <c r="K254" s="81">
        <v>95</v>
      </c>
      <c r="L254" s="81">
        <v>99</v>
      </c>
      <c r="M254" s="81">
        <v>115</v>
      </c>
      <c r="N254" s="81">
        <v>133</v>
      </c>
      <c r="O254" s="81">
        <v>168</v>
      </c>
      <c r="P254" s="81">
        <v>176</v>
      </c>
      <c r="Q254" s="81">
        <v>225</v>
      </c>
      <c r="R254" s="81">
        <v>255</v>
      </c>
      <c r="S254" s="81">
        <v>318</v>
      </c>
      <c r="T254" s="81">
        <v>333</v>
      </c>
      <c r="U254" s="81">
        <v>408</v>
      </c>
      <c r="V254" s="81">
        <v>469</v>
      </c>
      <c r="W254" s="81">
        <v>531</v>
      </c>
      <c r="X254" s="81">
        <v>524</v>
      </c>
      <c r="Y254" s="81">
        <v>605</v>
      </c>
      <c r="Z254" s="81">
        <v>694</v>
      </c>
      <c r="AA254" s="81">
        <v>833</v>
      </c>
      <c r="AB254" s="81">
        <v>849</v>
      </c>
      <c r="AC254" s="81">
        <v>1009</v>
      </c>
      <c r="AD254" s="81">
        <v>1137</v>
      </c>
      <c r="AE254" s="81">
        <v>1337</v>
      </c>
      <c r="AF254" s="81">
        <v>1361</v>
      </c>
      <c r="AG254" s="81">
        <v>1558</v>
      </c>
      <c r="AH254" s="81">
        <v>1749</v>
      </c>
      <c r="AI254" s="81">
        <v>2048</v>
      </c>
      <c r="AJ254" s="81">
        <v>2080</v>
      </c>
      <c r="AK254" s="81">
        <v>2297</v>
      </c>
      <c r="AL254" s="81">
        <v>2406</v>
      </c>
      <c r="AM254" s="81">
        <v>2742</v>
      </c>
      <c r="AN254" s="81">
        <v>2670</v>
      </c>
      <c r="AO254" s="81">
        <v>2985</v>
      </c>
      <c r="AP254" s="81">
        <v>3243</v>
      </c>
      <c r="AQ254" s="81">
        <v>3642</v>
      </c>
      <c r="AR254" s="81">
        <v>3236</v>
      </c>
      <c r="AS254" s="81">
        <v>3312</v>
      </c>
      <c r="AT254" s="81">
        <v>4202</v>
      </c>
      <c r="AU254" s="81">
        <v>4703</v>
      </c>
      <c r="AV254" s="81">
        <v>4735</v>
      </c>
      <c r="AW254" s="81">
        <v>5152</v>
      </c>
      <c r="AX254" s="81">
        <v>5398</v>
      </c>
      <c r="AY254" s="81">
        <v>6183</v>
      </c>
      <c r="AZ254" s="81">
        <v>5661</v>
      </c>
      <c r="BA254" s="81">
        <v>5835</v>
      </c>
      <c r="BB254" s="81">
        <v>5717</v>
      </c>
      <c r="BC254" s="81">
        <v>5968</v>
      </c>
      <c r="BD254" s="81">
        <v>5893</v>
      </c>
      <c r="BE254" s="81">
        <v>6435</v>
      </c>
      <c r="BF254" s="81">
        <v>6829</v>
      </c>
      <c r="BG254" s="81">
        <v>7316</v>
      </c>
      <c r="BH254" s="81">
        <v>7338</v>
      </c>
      <c r="BI254" s="81">
        <v>7721</v>
      </c>
      <c r="BJ254" s="81">
        <v>8050</v>
      </c>
      <c r="BK254" s="81"/>
      <c r="BL254" s="81"/>
      <c r="BM254" s="81"/>
      <c r="BN254" s="81"/>
      <c r="BO254" s="81"/>
      <c r="BQ254" s="83" t="s">
        <v>127</v>
      </c>
      <c r="BR254" s="83" t="s">
        <v>127</v>
      </c>
      <c r="BS254" s="83" t="s">
        <v>127</v>
      </c>
      <c r="BT254" s="64">
        <f>+SUM(D254:G254)</f>
        <v>142</v>
      </c>
      <c r="BU254" s="64">
        <f>+SUM(H254:K254)</f>
        <v>313</v>
      </c>
      <c r="BV254" s="64">
        <f>+SUM(L254:O254)</f>
        <v>515</v>
      </c>
      <c r="BW254" s="64">
        <f>+SUM(P254:S254)</f>
        <v>974</v>
      </c>
      <c r="BX254" s="64">
        <f>+SUM(T254:W254)</f>
        <v>1741</v>
      </c>
      <c r="BY254" s="64">
        <f>+SUM(X254:AA254)</f>
        <v>2656</v>
      </c>
      <c r="BZ254" s="64">
        <f>+SUM(AB254:AE254)</f>
        <v>4332</v>
      </c>
      <c r="CA254" s="64">
        <f>+SUM(AF254:AI254)</f>
        <v>6716</v>
      </c>
      <c r="CB254" s="64">
        <f>+SUM(AJ254:AM254)</f>
        <v>9525</v>
      </c>
      <c r="CC254" s="64">
        <f>+SUM(AN254:AQ254)</f>
        <v>12540</v>
      </c>
      <c r="CD254" s="64">
        <f>+SUM(AR254:AU254)</f>
        <v>15453</v>
      </c>
      <c r="CE254" s="64">
        <f>+SUM(AV254:AY254)</f>
        <v>21468</v>
      </c>
      <c r="CF254" s="64">
        <f>+SUM(AZ254:BC254)</f>
        <v>23181</v>
      </c>
      <c r="CG254" s="64">
        <f>+SUM(BD254:BG254)</f>
        <v>26473</v>
      </c>
      <c r="CH254" s="64"/>
      <c r="CI254" s="64"/>
    </row>
    <row r="255" spans="2:90" ht="13.5" x14ac:dyDescent="0.35">
      <c r="B255" t="s">
        <v>217</v>
      </c>
      <c r="D255" s="82">
        <v>13</v>
      </c>
      <c r="E255" s="82">
        <v>22</v>
      </c>
      <c r="F255" s="82">
        <v>24</v>
      </c>
      <c r="G255" s="82">
        <v>42</v>
      </c>
      <c r="H255" s="82">
        <v>43</v>
      </c>
      <c r="I255" s="82">
        <v>63</v>
      </c>
      <c r="J255" s="82">
        <v>70</v>
      </c>
      <c r="K255" s="82">
        <v>80</v>
      </c>
      <c r="L255" s="82">
        <v>80</v>
      </c>
      <c r="M255" s="82">
        <v>104</v>
      </c>
      <c r="N255" s="82">
        <v>120</v>
      </c>
      <c r="O255" s="82">
        <v>156</v>
      </c>
      <c r="P255" s="82">
        <v>150</v>
      </c>
      <c r="Q255" s="82">
        <v>202</v>
      </c>
      <c r="R255" s="82">
        <v>229</v>
      </c>
      <c r="S255" s="82">
        <v>300</v>
      </c>
      <c r="T255" s="82">
        <v>262</v>
      </c>
      <c r="U255" s="82">
        <v>336</v>
      </c>
      <c r="V255" s="82">
        <v>343</v>
      </c>
      <c r="W255" s="82">
        <v>394</v>
      </c>
      <c r="X255" s="82">
        <v>346</v>
      </c>
      <c r="Y255" s="82">
        <v>409</v>
      </c>
      <c r="Z255" s="82">
        <v>444</v>
      </c>
      <c r="AA255" s="82">
        <v>544</v>
      </c>
      <c r="AB255" s="82">
        <v>467</v>
      </c>
      <c r="AC255" s="82">
        <v>608</v>
      </c>
      <c r="AD255" s="82">
        <v>685</v>
      </c>
      <c r="AE255" s="82">
        <v>832</v>
      </c>
      <c r="AF255" s="82">
        <v>776</v>
      </c>
      <c r="AG255" s="82">
        <v>947</v>
      </c>
      <c r="AH255" s="82">
        <v>1047</v>
      </c>
      <c r="AI255" s="82">
        <v>1264</v>
      </c>
      <c r="AJ255" s="82">
        <v>1164</v>
      </c>
      <c r="AK255" s="82">
        <v>1357</v>
      </c>
      <c r="AL255" s="82">
        <v>1320</v>
      </c>
      <c r="AM255" s="82">
        <v>1565</v>
      </c>
      <c r="AN255" s="82">
        <v>1430</v>
      </c>
      <c r="AO255" s="82">
        <v>1644</v>
      </c>
      <c r="AP255" s="82">
        <v>1766</v>
      </c>
      <c r="AQ255" s="82">
        <v>2002</v>
      </c>
      <c r="AR255" s="82">
        <v>1654</v>
      </c>
      <c r="AS255" s="82">
        <v>1539</v>
      </c>
      <c r="AT255" s="82">
        <v>1980</v>
      </c>
      <c r="AU255" s="82">
        <v>2512</v>
      </c>
      <c r="AV255" s="82">
        <v>2434</v>
      </c>
      <c r="AW255" s="82">
        <v>2857</v>
      </c>
      <c r="AX255" s="82">
        <v>2963</v>
      </c>
      <c r="AY255" s="82">
        <v>3220</v>
      </c>
      <c r="AZ255" s="82">
        <v>2949</v>
      </c>
      <c r="BA255" s="82">
        <v>3169</v>
      </c>
      <c r="BB255" s="82">
        <v>3047</v>
      </c>
      <c r="BC255" s="82">
        <v>3377</v>
      </c>
      <c r="BD255" s="82">
        <v>3229</v>
      </c>
      <c r="BE255" s="82">
        <v>3664</v>
      </c>
      <c r="BF255" s="82">
        <v>4137</v>
      </c>
      <c r="BG255" s="82">
        <v>4447</v>
      </c>
      <c r="BH255" s="82">
        <v>4519</v>
      </c>
      <c r="BI255" s="82">
        <v>4880</v>
      </c>
      <c r="BJ255" s="82">
        <v>5088</v>
      </c>
      <c r="BK255" s="82"/>
      <c r="BL255" s="82"/>
      <c r="BM255" s="82"/>
      <c r="BN255" s="82"/>
      <c r="BO255" s="82"/>
      <c r="BP255" s="112"/>
      <c r="BQ255" s="85" t="s">
        <v>127</v>
      </c>
      <c r="BR255" s="85" t="s">
        <v>127</v>
      </c>
      <c r="BS255" s="85" t="s">
        <v>127</v>
      </c>
      <c r="BT255" s="65">
        <f>+SUM(D255:G255)</f>
        <v>101</v>
      </c>
      <c r="BU255" s="65">
        <f>+SUM(H255:K255)</f>
        <v>256</v>
      </c>
      <c r="BV255" s="65">
        <f>+SUM(L255:O255)</f>
        <v>460</v>
      </c>
      <c r="BW255" s="65">
        <f>+SUM(P255:S255)</f>
        <v>881</v>
      </c>
      <c r="BX255" s="65">
        <f>+SUM(T255:W255)</f>
        <v>1335</v>
      </c>
      <c r="BY255" s="65">
        <f>+SUM(X255:AA255)</f>
        <v>1743</v>
      </c>
      <c r="BZ255" s="65">
        <f>+SUM(AB255:AE255)</f>
        <v>2592</v>
      </c>
      <c r="CA255" s="65">
        <f>+SUM(AF255:AI255)</f>
        <v>4034</v>
      </c>
      <c r="CB255" s="65">
        <f>+SUM(AJ255:AM255)</f>
        <v>5406</v>
      </c>
      <c r="CC255" s="65">
        <f>+SUM(AN255:AQ255)</f>
        <v>6842</v>
      </c>
      <c r="CD255" s="65">
        <f>+SUM(AR255:AU255)</f>
        <v>7685</v>
      </c>
      <c r="CE255" s="65">
        <f>+SUM(AV255:AY255)</f>
        <v>11474</v>
      </c>
      <c r="CF255" s="65">
        <f>+SUM(AZ255:BC255)</f>
        <v>12542</v>
      </c>
      <c r="CG255" s="65">
        <f>+SUM(BD255:BG255)</f>
        <v>15477</v>
      </c>
      <c r="CH255" s="65"/>
      <c r="CI255" s="65"/>
    </row>
    <row r="256" spans="2:90" x14ac:dyDescent="0.2">
      <c r="B256" s="110" t="s">
        <v>249</v>
      </c>
      <c r="D256" s="111">
        <f>SUM(D252:D255)</f>
        <v>340</v>
      </c>
      <c r="E256" s="111">
        <f t="shared" ref="E256:AW256" si="555">SUM(E252:E255)</f>
        <v>424</v>
      </c>
      <c r="F256" s="111">
        <f t="shared" si="555"/>
        <v>450</v>
      </c>
      <c r="G256" s="111">
        <f t="shared" si="555"/>
        <v>655</v>
      </c>
      <c r="H256" s="111">
        <f t="shared" si="555"/>
        <v>637</v>
      </c>
      <c r="I256" s="111">
        <f t="shared" si="555"/>
        <v>776</v>
      </c>
      <c r="J256" s="111">
        <f t="shared" si="555"/>
        <v>798</v>
      </c>
      <c r="K256" s="111">
        <f t="shared" si="555"/>
        <v>943</v>
      </c>
      <c r="L256" s="111">
        <f t="shared" si="555"/>
        <v>872</v>
      </c>
      <c r="M256" s="111">
        <f t="shared" si="555"/>
        <v>992</v>
      </c>
      <c r="N256" s="111">
        <f t="shared" si="555"/>
        <v>1086</v>
      </c>
      <c r="O256" s="111">
        <f t="shared" si="555"/>
        <v>1329</v>
      </c>
      <c r="P256" s="111">
        <f t="shared" si="555"/>
        <v>1245</v>
      </c>
      <c r="Q256" s="111">
        <f t="shared" si="555"/>
        <v>1599</v>
      </c>
      <c r="R256" s="111">
        <f t="shared" si="555"/>
        <v>1798</v>
      </c>
      <c r="S256" s="111">
        <f t="shared" si="555"/>
        <v>2344</v>
      </c>
      <c r="T256" s="111">
        <f t="shared" si="555"/>
        <v>2265</v>
      </c>
      <c r="U256" s="111">
        <f t="shared" si="555"/>
        <v>2676</v>
      </c>
      <c r="V256" s="111">
        <f t="shared" si="555"/>
        <v>2957</v>
      </c>
      <c r="W256" s="111">
        <f t="shared" si="555"/>
        <v>3594</v>
      </c>
      <c r="X256" s="111">
        <f t="shared" si="555"/>
        <v>3317</v>
      </c>
      <c r="Y256" s="111">
        <f t="shared" si="555"/>
        <v>3827</v>
      </c>
      <c r="Z256" s="111">
        <f t="shared" si="555"/>
        <v>4299</v>
      </c>
      <c r="AA256" s="111">
        <f t="shared" si="555"/>
        <v>5637</v>
      </c>
      <c r="AB256" s="111">
        <f t="shared" si="555"/>
        <v>5201</v>
      </c>
      <c r="AC256" s="111">
        <f t="shared" si="555"/>
        <v>6239</v>
      </c>
      <c r="AD256" s="111">
        <f t="shared" si="555"/>
        <v>6816</v>
      </c>
      <c r="AE256" s="111">
        <f t="shared" si="555"/>
        <v>8629</v>
      </c>
      <c r="AF256" s="111">
        <f t="shared" si="555"/>
        <v>7857</v>
      </c>
      <c r="AG256" s="111">
        <f t="shared" si="555"/>
        <v>9164</v>
      </c>
      <c r="AH256" s="111">
        <f t="shared" si="555"/>
        <v>10142</v>
      </c>
      <c r="AI256" s="111">
        <f t="shared" si="555"/>
        <v>12779</v>
      </c>
      <c r="AJ256" s="111">
        <f t="shared" si="555"/>
        <v>11795</v>
      </c>
      <c r="AK256" s="111">
        <f t="shared" si="555"/>
        <v>13038</v>
      </c>
      <c r="AL256" s="111">
        <f t="shared" si="555"/>
        <v>13539</v>
      </c>
      <c r="AM256" s="111">
        <f t="shared" si="555"/>
        <v>16640</v>
      </c>
      <c r="AN256" s="111">
        <f t="shared" si="555"/>
        <v>14912</v>
      </c>
      <c r="AO256" s="111">
        <f t="shared" si="555"/>
        <v>16624</v>
      </c>
      <c r="AP256" s="111">
        <f t="shared" si="555"/>
        <v>17383</v>
      </c>
      <c r="AQ256" s="111">
        <f t="shared" si="555"/>
        <v>20736</v>
      </c>
      <c r="AR256" s="111">
        <f t="shared" si="555"/>
        <v>17440</v>
      </c>
      <c r="AS256" s="111">
        <f t="shared" si="555"/>
        <v>18321</v>
      </c>
      <c r="AT256" s="111">
        <f t="shared" si="555"/>
        <v>21221</v>
      </c>
      <c r="AU256" s="111">
        <f t="shared" si="555"/>
        <v>27187</v>
      </c>
      <c r="AV256" s="111">
        <f t="shared" si="555"/>
        <v>25439</v>
      </c>
      <c r="AW256" s="111">
        <f t="shared" si="555"/>
        <v>28580</v>
      </c>
      <c r="AX256" s="111">
        <f t="shared" ref="AX256:BJ256" si="556">SUM(AX252:AX255)</f>
        <v>28276</v>
      </c>
      <c r="AY256" s="111">
        <f t="shared" si="556"/>
        <v>32639</v>
      </c>
      <c r="AZ256" s="111">
        <f t="shared" si="556"/>
        <v>26998</v>
      </c>
      <c r="BA256" s="111">
        <f t="shared" si="556"/>
        <v>28152</v>
      </c>
      <c r="BB256" s="111">
        <f t="shared" si="556"/>
        <v>27237</v>
      </c>
      <c r="BC256" s="111">
        <f t="shared" si="556"/>
        <v>31254</v>
      </c>
      <c r="BD256" s="111">
        <f t="shared" si="556"/>
        <v>28101</v>
      </c>
      <c r="BE256" s="111">
        <f t="shared" si="556"/>
        <v>31498</v>
      </c>
      <c r="BF256" s="111">
        <f t="shared" si="556"/>
        <v>33643</v>
      </c>
      <c r="BG256" s="111">
        <f t="shared" si="556"/>
        <v>38706</v>
      </c>
      <c r="BH256" s="111">
        <f t="shared" si="556"/>
        <v>35635</v>
      </c>
      <c r="BI256" s="111">
        <f t="shared" si="556"/>
        <v>38329</v>
      </c>
      <c r="BJ256" s="111">
        <f t="shared" si="556"/>
        <v>39885</v>
      </c>
      <c r="BK256" s="111"/>
      <c r="BL256" s="111"/>
      <c r="BM256" s="111"/>
      <c r="BN256" s="111"/>
      <c r="BO256" s="111"/>
      <c r="BQ256" s="212">
        <f>+BQ124</f>
        <v>153</v>
      </c>
      <c r="BR256" s="212">
        <f>+BR124</f>
        <v>272</v>
      </c>
      <c r="BS256" s="212">
        <f>+BS124</f>
        <v>764</v>
      </c>
      <c r="BT256" s="111">
        <f>+SUM(D256:G256)</f>
        <v>1869</v>
      </c>
      <c r="BU256" s="111">
        <f>+SUM(H256:K256)</f>
        <v>3154</v>
      </c>
      <c r="BV256" s="111">
        <f>+SUM(L256:O256)</f>
        <v>4279</v>
      </c>
      <c r="BW256" s="111">
        <f>+SUM(P256:S256)</f>
        <v>6986</v>
      </c>
      <c r="BX256" s="111">
        <f>+SUM(T256:W256)</f>
        <v>11492</v>
      </c>
      <c r="BY256" s="111">
        <f>+SUM(X256:AA256)</f>
        <v>17080</v>
      </c>
      <c r="BZ256" s="111">
        <f>+SUM(AB256:AE256)</f>
        <v>26885</v>
      </c>
      <c r="CA256" s="111">
        <f>+SUM(AF256:AI256)</f>
        <v>39942</v>
      </c>
      <c r="CB256" s="111">
        <f>+SUM(AJ256:AM256)</f>
        <v>55012</v>
      </c>
      <c r="CC256" s="111">
        <f>+SUM(AN256:AQ256)</f>
        <v>69655</v>
      </c>
      <c r="CD256" s="111">
        <f>+SUM(AR256:AU256)</f>
        <v>84169</v>
      </c>
      <c r="CE256" s="111">
        <f>SUM(CE252:CE255)</f>
        <v>114934</v>
      </c>
      <c r="CF256" s="111">
        <f>SUM(CF252:CF255)</f>
        <v>113641</v>
      </c>
      <c r="CG256" s="111">
        <f>SUM(CG252:CG255)</f>
        <v>131948</v>
      </c>
      <c r="CH256" s="111"/>
      <c r="CI256" s="111"/>
    </row>
    <row r="257" spans="2:113" x14ac:dyDescent="0.2">
      <c r="CR257" t="s">
        <v>96</v>
      </c>
      <c r="CS257" t="s">
        <v>97</v>
      </c>
      <c r="CT257" t="s">
        <v>98</v>
      </c>
      <c r="CU257" t="s">
        <v>99</v>
      </c>
      <c r="CV257" t="s">
        <v>100</v>
      </c>
      <c r="CW257" t="s">
        <v>101</v>
      </c>
      <c r="CX257" t="s">
        <v>304</v>
      </c>
      <c r="CY257" t="s">
        <v>320</v>
      </c>
      <c r="CZ257" t="s">
        <v>326</v>
      </c>
      <c r="DA257" t="s">
        <v>329</v>
      </c>
      <c r="DB257" t="s">
        <v>330</v>
      </c>
      <c r="DC257" t="s">
        <v>333</v>
      </c>
      <c r="DD257" t="s">
        <v>335</v>
      </c>
      <c r="DE257" t="s">
        <v>350</v>
      </c>
      <c r="DF257" t="s">
        <v>358</v>
      </c>
      <c r="DG257" t="s">
        <v>359</v>
      </c>
      <c r="DH257" t="s">
        <v>354</v>
      </c>
      <c r="DI257" t="s">
        <v>355</v>
      </c>
    </row>
    <row r="258" spans="2:113" x14ac:dyDescent="0.2">
      <c r="B258" s="62" t="s">
        <v>17</v>
      </c>
      <c r="CQ258" t="s">
        <v>429</v>
      </c>
      <c r="CR258" s="210">
        <v>0.127</v>
      </c>
      <c r="CS258" s="210">
        <v>0.128</v>
      </c>
      <c r="CT258" s="210">
        <v>0.36799999999999999</v>
      </c>
      <c r="CU258" s="210">
        <v>0.47399999999999998</v>
      </c>
      <c r="CV258" s="210">
        <v>0.22900000000000001</v>
      </c>
      <c r="CW258" s="210">
        <v>0.34</v>
      </c>
      <c r="CX258" s="210">
        <v>7.5999999999999998E-2</v>
      </c>
      <c r="CY258" s="210">
        <v>-8.8999999999999996E-2</v>
      </c>
      <c r="CZ258" s="210">
        <v>-9.9000000000000005E-2</v>
      </c>
      <c r="DA258" s="210">
        <v>-0.124</v>
      </c>
      <c r="DB258" s="210">
        <v>-2E-3</v>
      </c>
      <c r="DC258" s="210">
        <v>0.13100000000000001</v>
      </c>
      <c r="DD258" s="210">
        <v>0.191</v>
      </c>
      <c r="DE258" s="210">
        <v>9.8000000000000004E-2</v>
      </c>
      <c r="DF258" s="210">
        <v>0.28100000000000003</v>
      </c>
      <c r="DG258" s="210">
        <v>0.26200000000000001</v>
      </c>
      <c r="DH258" s="210">
        <v>0.248</v>
      </c>
      <c r="DI258" s="210">
        <v>0.152</v>
      </c>
    </row>
    <row r="259" spans="2:113" x14ac:dyDescent="0.2">
      <c r="B259" s="60" t="s">
        <v>214</v>
      </c>
      <c r="H259" s="106">
        <f t="shared" ref="H259:Q263" si="557">+H252/D252-1</f>
        <v>0.58851674641148333</v>
      </c>
      <c r="I259" s="106">
        <f t="shared" si="557"/>
        <v>0.62139917695473246</v>
      </c>
      <c r="J259" s="106">
        <f t="shared" si="557"/>
        <v>0.51923076923076916</v>
      </c>
      <c r="K259" s="106">
        <f t="shared" si="557"/>
        <v>0.28690807799442908</v>
      </c>
      <c r="L259" s="106">
        <f t="shared" si="557"/>
        <v>0.26204819277108427</v>
      </c>
      <c r="M259" s="106">
        <f t="shared" si="557"/>
        <v>0.21573604060913709</v>
      </c>
      <c r="N259" s="106">
        <f t="shared" si="557"/>
        <v>0.36202531645569613</v>
      </c>
      <c r="O259" s="106">
        <f t="shared" si="557"/>
        <v>0.36580086580086579</v>
      </c>
      <c r="P259" s="106">
        <f t="shared" si="557"/>
        <v>0.31742243436754181</v>
      </c>
      <c r="Q259" s="106">
        <f t="shared" si="557"/>
        <v>0.50521920668058451</v>
      </c>
      <c r="R259" s="106">
        <f t="shared" ref="R259:AA263" si="558">+R252/N252-1</f>
        <v>0.54646840148698894</v>
      </c>
      <c r="S259" s="106">
        <f t="shared" si="558"/>
        <v>0.69255150554675127</v>
      </c>
      <c r="T259" s="106">
        <f t="shared" si="558"/>
        <v>0.88224637681159424</v>
      </c>
      <c r="U259" s="106">
        <f t="shared" si="558"/>
        <v>0.62968099861303739</v>
      </c>
      <c r="V259" s="106">
        <f t="shared" si="558"/>
        <v>0.63701923076923084</v>
      </c>
      <c r="W259" s="106">
        <f t="shared" si="558"/>
        <v>0.60018726591760307</v>
      </c>
      <c r="X259" s="106">
        <f t="shared" si="558"/>
        <v>0.53224254090471601</v>
      </c>
      <c r="Y259" s="106">
        <f t="shared" si="558"/>
        <v>0.55404255319148943</v>
      </c>
      <c r="Z259" s="106">
        <f t="shared" si="558"/>
        <v>0.5565345080763584</v>
      </c>
      <c r="AA259" s="106">
        <f t="shared" si="558"/>
        <v>0.66588648332358114</v>
      </c>
      <c r="AB259" s="106">
        <f t="shared" ref="AB259:AK263" si="559">+AB252/X252-1</f>
        <v>0.64258793969849237</v>
      </c>
      <c r="AC259" s="106">
        <f t="shared" si="559"/>
        <v>0.68510405257393203</v>
      </c>
      <c r="AD259" s="106">
        <f t="shared" si="559"/>
        <v>0.6183962264150944</v>
      </c>
      <c r="AE259" s="106">
        <f t="shared" si="559"/>
        <v>0.55778011942395511</v>
      </c>
      <c r="AF259" s="106">
        <f t="shared" si="559"/>
        <v>0.47265774378585079</v>
      </c>
      <c r="AG259" s="106">
        <f t="shared" si="559"/>
        <v>0.4462138446538837</v>
      </c>
      <c r="AH259" s="106">
        <f t="shared" si="559"/>
        <v>0.43165257942290869</v>
      </c>
      <c r="AI259" s="106">
        <f t="shared" si="559"/>
        <v>0.41397970687711383</v>
      </c>
      <c r="AJ259" s="106">
        <f t="shared" si="559"/>
        <v>0.44352116333419889</v>
      </c>
      <c r="AK259" s="106">
        <f t="shared" si="559"/>
        <v>0.37910112359550552</v>
      </c>
      <c r="AL259" s="106">
        <f t="shared" ref="AL259:AU263" si="560">+AL252/AH252-1</f>
        <v>0.33285830618892498</v>
      </c>
      <c r="AM259" s="106">
        <f t="shared" si="560"/>
        <v>0.31494179556689517</v>
      </c>
      <c r="AN259" s="106">
        <f t="shared" si="560"/>
        <v>0.29573664328116567</v>
      </c>
      <c r="AO259" s="106">
        <f t="shared" si="560"/>
        <v>0.2957471077073488</v>
      </c>
      <c r="AP259" s="106">
        <f t="shared" si="560"/>
        <v>0.27035283335879035</v>
      </c>
      <c r="AQ259" s="106">
        <f t="shared" si="560"/>
        <v>0.21525588163958287</v>
      </c>
      <c r="AR259" s="106">
        <f t="shared" si="560"/>
        <v>0.16326530612244894</v>
      </c>
      <c r="AS259" s="106">
        <f t="shared" si="560"/>
        <v>0.1392102615694164</v>
      </c>
      <c r="AT259" s="106">
        <f t="shared" si="560"/>
        <v>0.20091379103041973</v>
      </c>
      <c r="AU259" s="106">
        <f t="shared" si="560"/>
        <v>0.31224428699730566</v>
      </c>
      <c r="AV259" s="106">
        <f t="shared" ref="AV259:BA263" si="561">+AV252/AR252-1</f>
        <v>0.41985917173887088</v>
      </c>
      <c r="AW259" s="106">
        <f t="shared" si="561"/>
        <v>0.47543879015343848</v>
      </c>
      <c r="AX259" s="106">
        <f t="shared" si="561"/>
        <v>0.31097316780136164</v>
      </c>
      <c r="AY259" s="106">
        <f t="shared" si="561"/>
        <v>0.14539923954372624</v>
      </c>
      <c r="AZ259" s="106">
        <f t="shared" si="561"/>
        <v>1.0674960073968176E-2</v>
      </c>
      <c r="BA259" s="106">
        <f t="shared" si="561"/>
        <v>-4.3244052072422545E-2</v>
      </c>
      <c r="BB259" s="106">
        <f>+BB252/AX252-1</f>
        <v>-2.5049641056972605E-2</v>
      </c>
      <c r="BC259" s="106">
        <f t="shared" ref="BC259:BJ263" si="562">+BC252/AY252-1</f>
        <v>-3.7843579869871746E-3</v>
      </c>
      <c r="BD259" s="106">
        <f t="shared" si="562"/>
        <v>5.7052561543579516E-2</v>
      </c>
      <c r="BE259" s="106">
        <f t="shared" si="562"/>
        <v>0.10502033156083823</v>
      </c>
      <c r="BF259" s="106">
        <f t="shared" si="562"/>
        <v>0.17154942816857277</v>
      </c>
      <c r="BG259" s="106">
        <f t="shared" si="562"/>
        <v>0.18520493168943686</v>
      </c>
      <c r="BH259" s="106">
        <f t="shared" si="562"/>
        <v>0.21565696302124304</v>
      </c>
      <c r="BI259" s="106">
        <f t="shared" si="562"/>
        <v>0.17422687707876294</v>
      </c>
      <c r="BJ259" s="106">
        <f t="shared" si="562"/>
        <v>0.1626771864134795</v>
      </c>
      <c r="BK259" s="106"/>
      <c r="BL259" s="106"/>
      <c r="BM259" s="106"/>
      <c r="BN259" s="106"/>
      <c r="BO259" s="106"/>
      <c r="BP259" s="106"/>
      <c r="BQ259" s="106"/>
      <c r="BR259" s="164" t="str">
        <f>+IFERROR(BR252/BQ252-1,"n/a")</f>
        <v>n/a</v>
      </c>
      <c r="BS259" s="164" t="str">
        <f t="shared" ref="BS259:CG259" si="563">+IFERROR(BS252/BR252-1,"n/a")</f>
        <v>n/a</v>
      </c>
      <c r="BT259" s="164" t="str">
        <f t="shared" si="563"/>
        <v>n/a</v>
      </c>
      <c r="BU259" s="164">
        <f t="shared" si="563"/>
        <v>0.47805788982259578</v>
      </c>
      <c r="BV259" s="164">
        <f t="shared" si="563"/>
        <v>0.30574857864813643</v>
      </c>
      <c r="BW259" s="164">
        <f t="shared" si="563"/>
        <v>0.5350749879051766</v>
      </c>
      <c r="BX259" s="164">
        <f t="shared" si="563"/>
        <v>0.66561613614875514</v>
      </c>
      <c r="BY259" s="164">
        <f t="shared" si="563"/>
        <v>0.58656575212866602</v>
      </c>
      <c r="BZ259" s="164">
        <f t="shared" si="563"/>
        <v>0.6169350029815146</v>
      </c>
      <c r="CA259" s="164">
        <f t="shared" si="563"/>
        <v>0.43708511579879028</v>
      </c>
      <c r="CB259" s="164">
        <f t="shared" si="563"/>
        <v>0.35952576473003495</v>
      </c>
      <c r="CC259" s="164">
        <f t="shared" si="563"/>
        <v>0.26441164256861338</v>
      </c>
      <c r="CD259" s="164">
        <f t="shared" si="563"/>
        <v>0.21147702505001043</v>
      </c>
      <c r="CE259" s="164">
        <f t="shared" si="563"/>
        <v>0.31651715299684535</v>
      </c>
      <c r="CF259" s="164">
        <f t="shared" si="563"/>
        <v>-1.5649862408506299E-2</v>
      </c>
      <c r="CG259" s="164">
        <f t="shared" si="563"/>
        <v>0.13308483730483234</v>
      </c>
      <c r="CH259" s="106"/>
      <c r="CI259" s="106"/>
      <c r="CQ259" t="s">
        <v>430</v>
      </c>
      <c r="CR259" s="99">
        <f t="shared" ref="CR259:DG259" si="564">+AR259</f>
        <v>0.16326530612244894</v>
      </c>
      <c r="CS259" s="99">
        <f t="shared" si="564"/>
        <v>0.1392102615694164</v>
      </c>
      <c r="CT259" s="99">
        <f t="shared" si="564"/>
        <v>0.20091379103041973</v>
      </c>
      <c r="CU259" s="99">
        <f t="shared" si="564"/>
        <v>0.31224428699730566</v>
      </c>
      <c r="CV259" s="99">
        <f t="shared" si="564"/>
        <v>0.41985917173887088</v>
      </c>
      <c r="CW259" s="99">
        <f t="shared" si="564"/>
        <v>0.47543879015343848</v>
      </c>
      <c r="CX259" s="99">
        <f t="shared" si="564"/>
        <v>0.31097316780136164</v>
      </c>
      <c r="CY259" s="99">
        <f t="shared" si="564"/>
        <v>0.14539923954372624</v>
      </c>
      <c r="CZ259" s="99">
        <f t="shared" si="564"/>
        <v>1.0674960073968176E-2</v>
      </c>
      <c r="DA259" s="99">
        <f t="shared" si="564"/>
        <v>-4.3244052072422545E-2</v>
      </c>
      <c r="DB259" s="99">
        <f t="shared" si="564"/>
        <v>-2.5049641056972605E-2</v>
      </c>
      <c r="DC259" s="99">
        <f t="shared" si="564"/>
        <v>-3.7843579869871746E-3</v>
      </c>
      <c r="DD259" s="99">
        <f t="shared" si="564"/>
        <v>5.7052561543579516E-2</v>
      </c>
      <c r="DE259" s="99">
        <f t="shared" si="564"/>
        <v>0.10502033156083823</v>
      </c>
      <c r="DF259" s="99">
        <f t="shared" si="564"/>
        <v>0.17154942816857277</v>
      </c>
      <c r="DG259" s="99">
        <f t="shared" si="564"/>
        <v>0.18520493168943686</v>
      </c>
    </row>
    <row r="260" spans="2:113" x14ac:dyDescent="0.2">
      <c r="B260" s="60" t="s">
        <v>215</v>
      </c>
      <c r="H260" s="106">
        <f t="shared" si="557"/>
        <v>1.1458333333333335</v>
      </c>
      <c r="I260" s="106">
        <f t="shared" si="557"/>
        <v>0.9140625</v>
      </c>
      <c r="J260" s="106">
        <f t="shared" si="557"/>
        <v>0.88461538461538458</v>
      </c>
      <c r="K260" s="106">
        <f t="shared" si="557"/>
        <v>0.52238805970149249</v>
      </c>
      <c r="L260" s="106">
        <f t="shared" si="557"/>
        <v>0.33009708737864085</v>
      </c>
      <c r="M260" s="106">
        <f t="shared" si="557"/>
        <v>0.19999999999999996</v>
      </c>
      <c r="N260" s="106">
        <f t="shared" si="557"/>
        <v>0.20408163265306123</v>
      </c>
      <c r="O260" s="106">
        <f t="shared" si="557"/>
        <v>0.22222222222222232</v>
      </c>
      <c r="P260" s="106">
        <f t="shared" si="557"/>
        <v>0.33941605839416056</v>
      </c>
      <c r="Q260" s="106">
        <f t="shared" si="557"/>
        <v>0.53401360544217691</v>
      </c>
      <c r="R260" s="106">
        <f t="shared" si="558"/>
        <v>0.63389830508474576</v>
      </c>
      <c r="S260" s="106">
        <f t="shared" si="558"/>
        <v>0.7593582887700534</v>
      </c>
      <c r="T260" s="106">
        <f t="shared" si="558"/>
        <v>0.71934604904632149</v>
      </c>
      <c r="U260" s="106">
        <f t="shared" si="558"/>
        <v>0.6784922394678492</v>
      </c>
      <c r="V260" s="106">
        <f t="shared" si="558"/>
        <v>0.62448132780082988</v>
      </c>
      <c r="W260" s="106">
        <f t="shared" si="558"/>
        <v>0.45896656534954405</v>
      </c>
      <c r="X260" s="106">
        <f t="shared" si="558"/>
        <v>0.35499207606973049</v>
      </c>
      <c r="Y260" s="106">
        <f t="shared" si="558"/>
        <v>0.30383091149273445</v>
      </c>
      <c r="Z260" s="106">
        <f t="shared" si="558"/>
        <v>0.32950191570881215</v>
      </c>
      <c r="AA260" s="106">
        <f t="shared" si="558"/>
        <v>0.47187500000000004</v>
      </c>
      <c r="AB260" s="106">
        <f t="shared" si="559"/>
        <v>0.48538011695906436</v>
      </c>
      <c r="AC260" s="106">
        <f t="shared" si="559"/>
        <v>0.56534954407294835</v>
      </c>
      <c r="AD260" s="106">
        <f t="shared" si="559"/>
        <v>0.50144092219020164</v>
      </c>
      <c r="AE260" s="106">
        <f t="shared" si="559"/>
        <v>0.43312101910828016</v>
      </c>
      <c r="AF260" s="106">
        <f t="shared" si="559"/>
        <v>0.47165354330708653</v>
      </c>
      <c r="AG260" s="106">
        <f t="shared" si="559"/>
        <v>0.42977346278317152</v>
      </c>
      <c r="AH260" s="106">
        <f t="shared" si="559"/>
        <v>0.55726167626359557</v>
      </c>
      <c r="AI260" s="106">
        <f t="shared" si="559"/>
        <v>0.57827160493827168</v>
      </c>
      <c r="AJ260" s="106">
        <f t="shared" si="559"/>
        <v>0.60085607276618513</v>
      </c>
      <c r="AK260" s="106">
        <f t="shared" si="559"/>
        <v>0.46989588048890907</v>
      </c>
      <c r="AL260" s="106">
        <f t="shared" si="560"/>
        <v>0.34182415776499586</v>
      </c>
      <c r="AM260" s="106">
        <f t="shared" si="560"/>
        <v>0.2787859824780976</v>
      </c>
      <c r="AN260" s="106">
        <f t="shared" si="560"/>
        <v>0.20621657754010703</v>
      </c>
      <c r="AO260" s="106">
        <f t="shared" si="560"/>
        <v>0.24514936864798265</v>
      </c>
      <c r="AP260" s="106">
        <f t="shared" si="560"/>
        <v>0.24219228413962024</v>
      </c>
      <c r="AQ260" s="106">
        <f t="shared" si="560"/>
        <v>0.2407633961340836</v>
      </c>
      <c r="AR260" s="106">
        <f t="shared" si="560"/>
        <v>0.15572180659462465</v>
      </c>
      <c r="AS260" s="106">
        <f t="shared" si="560"/>
        <v>9.1021518674251789E-2</v>
      </c>
      <c r="AT260" s="106">
        <f t="shared" si="560"/>
        <v>0.24500862706433324</v>
      </c>
      <c r="AU260" s="106">
        <f t="shared" si="560"/>
        <v>0.34529678564385713</v>
      </c>
      <c r="AV260" s="106">
        <f t="shared" si="561"/>
        <v>0.5279309518101174</v>
      </c>
      <c r="AW260" s="106">
        <f t="shared" si="561"/>
        <v>0.6334164588528679</v>
      </c>
      <c r="AX260" s="106">
        <f t="shared" si="561"/>
        <v>0.35042565828548811</v>
      </c>
      <c r="AY260" s="106">
        <f t="shared" si="561"/>
        <v>0.19818235121665206</v>
      </c>
      <c r="AZ260" s="106">
        <f t="shared" si="561"/>
        <v>-1.4122077514514553E-3</v>
      </c>
      <c r="BA260" s="106">
        <f t="shared" si="561"/>
        <v>-0.11727966689798752</v>
      </c>
      <c r="BB260" s="106">
        <f>+BB253/AX253-1</f>
        <v>-0.16331916141328251</v>
      </c>
      <c r="BC260" s="106">
        <f t="shared" si="562"/>
        <v>-0.15537068754587713</v>
      </c>
      <c r="BD260" s="106">
        <f t="shared" si="562"/>
        <v>-1.492771841609053E-2</v>
      </c>
      <c r="BE260" s="106">
        <f t="shared" si="562"/>
        <v>0.14276729559748436</v>
      </c>
      <c r="BF260" s="106">
        <f t="shared" si="562"/>
        <v>0.35289994743297703</v>
      </c>
      <c r="BG260" s="106">
        <f t="shared" si="562"/>
        <v>0.32662224797219008</v>
      </c>
      <c r="BH260" s="106">
        <f t="shared" si="562"/>
        <v>0.32828202265114048</v>
      </c>
      <c r="BI260" s="106">
        <f t="shared" si="562"/>
        <v>0.25687947165657676</v>
      </c>
      <c r="BJ260" s="106">
        <f t="shared" si="562"/>
        <v>0.21201916850148939</v>
      </c>
      <c r="BK260" s="106"/>
      <c r="BL260" s="106"/>
      <c r="BM260" s="106"/>
      <c r="BN260" s="106"/>
      <c r="BO260" s="106"/>
      <c r="BP260" s="106"/>
      <c r="BQ260" s="106"/>
      <c r="BR260" s="164" t="str">
        <f>+IFERROR(BR253/BQ253-1,"n/a")</f>
        <v>n/a</v>
      </c>
      <c r="BS260" s="164" t="str">
        <f t="shared" ref="BS260:CG260" si="565">+IFERROR(BS253/BR253-1,"n/a")</f>
        <v>n/a</v>
      </c>
      <c r="BT260" s="164" t="str">
        <f t="shared" si="565"/>
        <v>n/a</v>
      </c>
      <c r="BU260" s="164">
        <f t="shared" si="565"/>
        <v>0.80540540540540539</v>
      </c>
      <c r="BV260" s="164">
        <f t="shared" si="565"/>
        <v>0.23453093812375259</v>
      </c>
      <c r="BW260" s="164">
        <f t="shared" si="565"/>
        <v>0.58286176232821352</v>
      </c>
      <c r="BX260" s="164">
        <f t="shared" si="565"/>
        <v>0.59908069458631252</v>
      </c>
      <c r="BY260" s="164">
        <f t="shared" si="565"/>
        <v>0.37208559565633981</v>
      </c>
      <c r="BZ260" s="164">
        <f t="shared" si="565"/>
        <v>0.49045623836126628</v>
      </c>
      <c r="CA260" s="164">
        <f t="shared" si="565"/>
        <v>0.51616429798531938</v>
      </c>
      <c r="CB260" s="164">
        <f t="shared" si="565"/>
        <v>0.40008240626287606</v>
      </c>
      <c r="CC260" s="164">
        <f t="shared" si="565"/>
        <v>0.23454973513831656</v>
      </c>
      <c r="CD260" s="164">
        <f t="shared" si="565"/>
        <v>0.21901072705601909</v>
      </c>
      <c r="CE260" s="164">
        <f t="shared" si="565"/>
        <v>0.39687118064043014</v>
      </c>
      <c r="CF260" s="164">
        <f t="shared" si="565"/>
        <v>-0.11332376719280435</v>
      </c>
      <c r="CG260" s="164">
        <f t="shared" si="565"/>
        <v>0.2005920663114269</v>
      </c>
      <c r="CH260" s="106"/>
      <c r="CI260" s="106"/>
      <c r="CQ260" t="s">
        <v>431</v>
      </c>
      <c r="CR260" s="99">
        <f t="shared" ref="CR260:DG260" si="566">+AR134</f>
        <v>0.1879023605150214</v>
      </c>
      <c r="CS260" s="99">
        <f t="shared" si="566"/>
        <v>0.11982675649663133</v>
      </c>
      <c r="CT260" s="99">
        <f t="shared" si="566"/>
        <v>0.20824943910717364</v>
      </c>
      <c r="CU260" s="99">
        <f t="shared" si="566"/>
        <v>0.29509066358024683</v>
      </c>
      <c r="CV260" s="99">
        <f t="shared" si="566"/>
        <v>0.41880733944954129</v>
      </c>
      <c r="CW260" s="99">
        <f t="shared" si="566"/>
        <v>0.50674089842257519</v>
      </c>
      <c r="CX260" s="99">
        <f t="shared" si="566"/>
        <v>0.32720727548313766</v>
      </c>
      <c r="CY260" s="99">
        <f t="shared" si="566"/>
        <v>0.21179240077978445</v>
      </c>
      <c r="CZ260" s="99">
        <f t="shared" si="566"/>
        <v>9.6190888006604025E-2</v>
      </c>
      <c r="DA260" s="99">
        <f t="shared" si="566"/>
        <v>2.8936319104268637E-2</v>
      </c>
      <c r="DB260" s="99">
        <f t="shared" si="566"/>
        <v>2.6064507002404813E-2</v>
      </c>
      <c r="DC260" s="99">
        <f t="shared" si="566"/>
        <v>1.8137810594687442E-2</v>
      </c>
      <c r="DD260" s="99">
        <f t="shared" si="566"/>
        <v>7.0708941403066827E-2</v>
      </c>
      <c r="DE260" s="99">
        <f t="shared" si="566"/>
        <v>0.12841005967604424</v>
      </c>
      <c r="DF260" s="99">
        <f t="shared" si="566"/>
        <v>0.21151374967874581</v>
      </c>
      <c r="DG260" s="99">
        <f t="shared" si="566"/>
        <v>0.2125487937543995</v>
      </c>
    </row>
    <row r="261" spans="2:113" x14ac:dyDescent="0.2">
      <c r="B261" s="60" t="s">
        <v>216</v>
      </c>
      <c r="H261" s="106">
        <f t="shared" si="557"/>
        <v>1.5454545454545454</v>
      </c>
      <c r="I261" s="106">
        <f t="shared" si="557"/>
        <v>1.3870967741935485</v>
      </c>
      <c r="J261" s="106">
        <f t="shared" si="557"/>
        <v>1.4444444444444446</v>
      </c>
      <c r="K261" s="106">
        <f t="shared" si="557"/>
        <v>0.79245283018867929</v>
      </c>
      <c r="L261" s="106">
        <f t="shared" si="557"/>
        <v>0.76785714285714279</v>
      </c>
      <c r="M261" s="106">
        <f t="shared" si="557"/>
        <v>0.55405405405405395</v>
      </c>
      <c r="N261" s="106">
        <f t="shared" si="557"/>
        <v>0.51136363636363646</v>
      </c>
      <c r="O261" s="106">
        <f t="shared" si="557"/>
        <v>0.76842105263157889</v>
      </c>
      <c r="P261" s="106">
        <f t="shared" si="557"/>
        <v>0.77777777777777768</v>
      </c>
      <c r="Q261" s="106">
        <f t="shared" si="557"/>
        <v>0.95652173913043481</v>
      </c>
      <c r="R261" s="106">
        <f t="shared" si="558"/>
        <v>0.91729323308270683</v>
      </c>
      <c r="S261" s="106">
        <f t="shared" si="558"/>
        <v>0.89285714285714279</v>
      </c>
      <c r="T261" s="106">
        <f t="shared" si="558"/>
        <v>0.89204545454545459</v>
      </c>
      <c r="U261" s="106">
        <f t="shared" si="558"/>
        <v>0.81333333333333324</v>
      </c>
      <c r="V261" s="106">
        <f t="shared" si="558"/>
        <v>0.83921568627450971</v>
      </c>
      <c r="W261" s="106">
        <f t="shared" si="558"/>
        <v>0.66981132075471694</v>
      </c>
      <c r="X261" s="106">
        <f t="shared" si="558"/>
        <v>0.57357357357357364</v>
      </c>
      <c r="Y261" s="106">
        <f t="shared" si="558"/>
        <v>0.48284313725490202</v>
      </c>
      <c r="Z261" s="106">
        <f t="shared" si="558"/>
        <v>0.47974413646055436</v>
      </c>
      <c r="AA261" s="106">
        <f t="shared" si="558"/>
        <v>0.56873822975517885</v>
      </c>
      <c r="AB261" s="106">
        <f t="shared" si="559"/>
        <v>0.62022900763358768</v>
      </c>
      <c r="AC261" s="106">
        <f t="shared" si="559"/>
        <v>0.66776859504132235</v>
      </c>
      <c r="AD261" s="106">
        <f t="shared" si="559"/>
        <v>0.63832853025936598</v>
      </c>
      <c r="AE261" s="106">
        <f t="shared" si="559"/>
        <v>0.60504201680672276</v>
      </c>
      <c r="AF261" s="106">
        <f t="shared" si="559"/>
        <v>0.60306242638398122</v>
      </c>
      <c r="AG261" s="106">
        <f t="shared" si="559"/>
        <v>0.54410307234886024</v>
      </c>
      <c r="AH261" s="106">
        <f t="shared" si="559"/>
        <v>0.53825857519788922</v>
      </c>
      <c r="AI261" s="106">
        <f t="shared" si="559"/>
        <v>0.53178758414360505</v>
      </c>
      <c r="AJ261" s="106">
        <f t="shared" si="559"/>
        <v>0.52828802351212345</v>
      </c>
      <c r="AK261" s="106">
        <f t="shared" si="559"/>
        <v>0.4743260590500642</v>
      </c>
      <c r="AL261" s="106">
        <f t="shared" si="560"/>
        <v>0.37564322469982847</v>
      </c>
      <c r="AM261" s="106">
        <f t="shared" si="560"/>
        <v>0.3388671875</v>
      </c>
      <c r="AN261" s="106">
        <f t="shared" si="560"/>
        <v>0.28365384615384626</v>
      </c>
      <c r="AO261" s="106">
        <f t="shared" si="560"/>
        <v>0.29952111449717012</v>
      </c>
      <c r="AP261" s="106">
        <f t="shared" si="560"/>
        <v>0.34788029925187036</v>
      </c>
      <c r="AQ261" s="106">
        <f t="shared" si="560"/>
        <v>0.32822757111597367</v>
      </c>
      <c r="AR261" s="106">
        <f t="shared" si="560"/>
        <v>0.2119850187265917</v>
      </c>
      <c r="AS261" s="106">
        <f t="shared" si="560"/>
        <v>0.10954773869346734</v>
      </c>
      <c r="AT261" s="106">
        <f t="shared" si="560"/>
        <v>0.29571384520505695</v>
      </c>
      <c r="AU261" s="106">
        <f t="shared" si="560"/>
        <v>0.29132344865458548</v>
      </c>
      <c r="AV261" s="106">
        <f t="shared" si="561"/>
        <v>0.46322620519159452</v>
      </c>
      <c r="AW261" s="106">
        <f t="shared" si="561"/>
        <v>0.55555555555555558</v>
      </c>
      <c r="AX261" s="106">
        <f t="shared" si="561"/>
        <v>0.28462636839600197</v>
      </c>
      <c r="AY261" s="106">
        <f t="shared" si="561"/>
        <v>0.31469274930895175</v>
      </c>
      <c r="AZ261" s="106">
        <f t="shared" si="561"/>
        <v>0.19556494192185858</v>
      </c>
      <c r="BA261" s="106">
        <f t="shared" si="561"/>
        <v>0.13256987577639756</v>
      </c>
      <c r="BB261" s="106">
        <f>+BB254/AX254-1</f>
        <v>5.9095961467209968E-2</v>
      </c>
      <c r="BC261" s="106">
        <f t="shared" si="562"/>
        <v>-3.4772764030405967E-2</v>
      </c>
      <c r="BD261" s="106">
        <f t="shared" si="562"/>
        <v>4.0982158629217391E-2</v>
      </c>
      <c r="BE261" s="106">
        <f t="shared" si="562"/>
        <v>0.10282776349614386</v>
      </c>
      <c r="BF261" s="106">
        <f t="shared" si="562"/>
        <v>0.19450760888577934</v>
      </c>
      <c r="BG261" s="106">
        <f t="shared" si="562"/>
        <v>0.22587131367292224</v>
      </c>
      <c r="BH261" s="106">
        <f t="shared" si="562"/>
        <v>0.24520617681995582</v>
      </c>
      <c r="BI261" s="106">
        <f t="shared" si="562"/>
        <v>0.1998445998445999</v>
      </c>
      <c r="BJ261" s="106">
        <f t="shared" si="562"/>
        <v>0.17879630985503003</v>
      </c>
      <c r="BK261" s="106"/>
      <c r="BL261" s="106"/>
      <c r="BM261" s="106"/>
      <c r="BN261" s="106"/>
      <c r="BO261" s="106"/>
      <c r="BP261" s="106"/>
      <c r="BQ261" s="106"/>
      <c r="BR261" s="164" t="str">
        <f>+IFERROR(BR254/BQ254-1,"n/a")</f>
        <v>n/a</v>
      </c>
      <c r="BS261" s="164" t="str">
        <f t="shared" ref="BS261:CG261" si="567">+IFERROR(BS254/BR254-1,"n/a")</f>
        <v>n/a</v>
      </c>
      <c r="BT261" s="164" t="str">
        <f t="shared" si="567"/>
        <v>n/a</v>
      </c>
      <c r="BU261" s="164">
        <f t="shared" si="567"/>
        <v>1.204225352112676</v>
      </c>
      <c r="BV261" s="164">
        <f t="shared" si="567"/>
        <v>0.64536741214057503</v>
      </c>
      <c r="BW261" s="164">
        <f t="shared" si="567"/>
        <v>0.89126213592233006</v>
      </c>
      <c r="BX261" s="164">
        <f t="shared" si="567"/>
        <v>0.78747433264887068</v>
      </c>
      <c r="BY261" s="164">
        <f t="shared" si="567"/>
        <v>0.52556002297530147</v>
      </c>
      <c r="BZ261" s="164">
        <f t="shared" si="567"/>
        <v>0.63102409638554224</v>
      </c>
      <c r="CA261" s="164">
        <f t="shared" si="567"/>
        <v>0.5503231763619576</v>
      </c>
      <c r="CB261" s="164">
        <f t="shared" si="567"/>
        <v>0.41825491363907097</v>
      </c>
      <c r="CC261" s="164">
        <f t="shared" si="567"/>
        <v>0.31653543307086607</v>
      </c>
      <c r="CD261" s="164">
        <f t="shared" si="567"/>
        <v>0.23229665071770333</v>
      </c>
      <c r="CE261" s="164">
        <f t="shared" si="567"/>
        <v>0.3892448068336245</v>
      </c>
      <c r="CF261" s="164">
        <f t="shared" si="567"/>
        <v>7.9793180547792053E-2</v>
      </c>
      <c r="CG261" s="164">
        <f t="shared" si="567"/>
        <v>0.1420128553556792</v>
      </c>
      <c r="CH261" s="106"/>
      <c r="CI261" s="106"/>
    </row>
    <row r="262" spans="2:113" ht="13.5" x14ac:dyDescent="0.35">
      <c r="B262" s="60" t="s">
        <v>217</v>
      </c>
      <c r="H262" s="108">
        <f t="shared" si="557"/>
        <v>2.3076923076923075</v>
      </c>
      <c r="I262" s="108">
        <f t="shared" si="557"/>
        <v>1.8636363636363638</v>
      </c>
      <c r="J262" s="108">
        <f t="shared" si="557"/>
        <v>1.9166666666666665</v>
      </c>
      <c r="K262" s="108">
        <f t="shared" si="557"/>
        <v>0.90476190476190466</v>
      </c>
      <c r="L262" s="108">
        <f t="shared" si="557"/>
        <v>0.86046511627906974</v>
      </c>
      <c r="M262" s="108">
        <f t="shared" si="557"/>
        <v>0.6507936507936507</v>
      </c>
      <c r="N262" s="108">
        <f t="shared" si="557"/>
        <v>0.71428571428571419</v>
      </c>
      <c r="O262" s="108">
        <f t="shared" si="557"/>
        <v>0.95</v>
      </c>
      <c r="P262" s="108">
        <f t="shared" si="557"/>
        <v>0.875</v>
      </c>
      <c r="Q262" s="108">
        <f t="shared" si="557"/>
        <v>0.94230769230769229</v>
      </c>
      <c r="R262" s="108">
        <f t="shared" si="558"/>
        <v>0.90833333333333344</v>
      </c>
      <c r="S262" s="108">
        <f t="shared" si="558"/>
        <v>0.92307692307692313</v>
      </c>
      <c r="T262" s="108">
        <f t="shared" si="558"/>
        <v>0.74666666666666659</v>
      </c>
      <c r="U262" s="108">
        <f t="shared" si="558"/>
        <v>0.66336633663366329</v>
      </c>
      <c r="V262" s="108">
        <f t="shared" si="558"/>
        <v>0.49781659388646293</v>
      </c>
      <c r="W262" s="108">
        <f t="shared" si="558"/>
        <v>0.31333333333333324</v>
      </c>
      <c r="X262" s="108">
        <f t="shared" si="558"/>
        <v>0.32061068702290085</v>
      </c>
      <c r="Y262" s="108">
        <f t="shared" si="558"/>
        <v>0.21726190476190466</v>
      </c>
      <c r="Z262" s="108">
        <f t="shared" si="558"/>
        <v>0.29446064139941686</v>
      </c>
      <c r="AA262" s="108">
        <f t="shared" si="558"/>
        <v>0.38071065989847708</v>
      </c>
      <c r="AB262" s="108">
        <f t="shared" si="559"/>
        <v>0.3497109826589595</v>
      </c>
      <c r="AC262" s="108">
        <f t="shared" si="559"/>
        <v>0.48655256723716378</v>
      </c>
      <c r="AD262" s="108">
        <f t="shared" si="559"/>
        <v>0.54279279279279269</v>
      </c>
      <c r="AE262" s="108">
        <f t="shared" si="559"/>
        <v>0.52941176470588225</v>
      </c>
      <c r="AF262" s="108">
        <f t="shared" si="559"/>
        <v>0.66167023554603865</v>
      </c>
      <c r="AG262" s="108">
        <f t="shared" si="559"/>
        <v>0.55756578947368429</v>
      </c>
      <c r="AH262" s="108">
        <f t="shared" si="559"/>
        <v>0.52846715328467164</v>
      </c>
      <c r="AI262" s="108">
        <f t="shared" si="559"/>
        <v>0.51923076923076916</v>
      </c>
      <c r="AJ262" s="108">
        <f t="shared" si="559"/>
        <v>0.5</v>
      </c>
      <c r="AK262" s="108">
        <f t="shared" si="559"/>
        <v>0.43294614572333678</v>
      </c>
      <c r="AL262" s="108">
        <f t="shared" si="560"/>
        <v>0.26074498567335236</v>
      </c>
      <c r="AM262" s="108">
        <f t="shared" si="560"/>
        <v>0.23813291139240511</v>
      </c>
      <c r="AN262" s="108">
        <f t="shared" si="560"/>
        <v>0.22852233676975953</v>
      </c>
      <c r="AO262" s="108">
        <f t="shared" si="560"/>
        <v>0.21149594694178342</v>
      </c>
      <c r="AP262" s="108">
        <f t="shared" si="560"/>
        <v>0.33787878787878789</v>
      </c>
      <c r="AQ262" s="108">
        <f t="shared" si="560"/>
        <v>0.27923322683706076</v>
      </c>
      <c r="AR262" s="108">
        <f t="shared" si="560"/>
        <v>0.15664335664335671</v>
      </c>
      <c r="AS262" s="108">
        <f t="shared" si="560"/>
        <v>-6.3868613138686081E-2</v>
      </c>
      <c r="AT262" s="108">
        <f t="shared" si="560"/>
        <v>0.12117780294450742</v>
      </c>
      <c r="AU262" s="108">
        <f t="shared" si="560"/>
        <v>0.25474525474525467</v>
      </c>
      <c r="AV262" s="108">
        <f t="shared" si="561"/>
        <v>0.47158403869407506</v>
      </c>
      <c r="AW262" s="108">
        <f t="shared" si="561"/>
        <v>0.8564002599090319</v>
      </c>
      <c r="AX262" s="108">
        <f t="shared" si="561"/>
        <v>0.4964646464646465</v>
      </c>
      <c r="AY262" s="108">
        <f t="shared" si="561"/>
        <v>0.28184713375796178</v>
      </c>
      <c r="AZ262" s="108">
        <f t="shared" si="561"/>
        <v>0.21158586688578462</v>
      </c>
      <c r="BA262" s="108">
        <f t="shared" si="561"/>
        <v>0.1092054602730137</v>
      </c>
      <c r="BB262" s="108">
        <f>+BB255/AX255-1</f>
        <v>2.8349645629429654E-2</v>
      </c>
      <c r="BC262" s="108">
        <f t="shared" si="562"/>
        <v>4.8757763975155299E-2</v>
      </c>
      <c r="BD262" s="108">
        <f t="shared" si="562"/>
        <v>9.4947439810105116E-2</v>
      </c>
      <c r="BE262" s="108">
        <f t="shared" si="562"/>
        <v>0.15620069422530758</v>
      </c>
      <c r="BF262" s="108">
        <f t="shared" si="562"/>
        <v>0.35772891368559234</v>
      </c>
      <c r="BG262" s="108">
        <f t="shared" si="562"/>
        <v>0.31684927450399769</v>
      </c>
      <c r="BH262" s="108">
        <f t="shared" si="562"/>
        <v>0.39950449055435122</v>
      </c>
      <c r="BI262" s="108">
        <f t="shared" si="562"/>
        <v>0.33187772925764203</v>
      </c>
      <c r="BJ262" s="108">
        <f t="shared" si="562"/>
        <v>0.2298767222625091</v>
      </c>
      <c r="BK262" s="108"/>
      <c r="BL262" s="108"/>
      <c r="BM262" s="108"/>
      <c r="BN262" s="108"/>
      <c r="BO262" s="108"/>
      <c r="BP262" s="108"/>
      <c r="BQ262" s="108"/>
      <c r="BR262" s="134" t="str">
        <f>+IFERROR(BR255/BQ255-1,"n/a")</f>
        <v>n/a</v>
      </c>
      <c r="BS262" s="134" t="str">
        <f t="shared" ref="BS262:CG262" si="568">+IFERROR(BS255/BR255-1,"n/a")</f>
        <v>n/a</v>
      </c>
      <c r="BT262" s="134" t="str">
        <f t="shared" si="568"/>
        <v>n/a</v>
      </c>
      <c r="BU262" s="134">
        <f t="shared" si="568"/>
        <v>1.5346534653465347</v>
      </c>
      <c r="BV262" s="134">
        <f t="shared" si="568"/>
        <v>0.796875</v>
      </c>
      <c r="BW262" s="134">
        <f t="shared" si="568"/>
        <v>0.91521739130434776</v>
      </c>
      <c r="BX262" s="134">
        <f t="shared" si="568"/>
        <v>0.5153234960272417</v>
      </c>
      <c r="BY262" s="134">
        <f t="shared" si="568"/>
        <v>0.30561797752808983</v>
      </c>
      <c r="BZ262" s="134">
        <f t="shared" si="568"/>
        <v>0.4870912220309811</v>
      </c>
      <c r="CA262" s="134">
        <f t="shared" si="568"/>
        <v>0.55632716049382713</v>
      </c>
      <c r="CB262" s="134">
        <f t="shared" si="568"/>
        <v>0.34010907288051562</v>
      </c>
      <c r="CC262" s="134">
        <f t="shared" si="568"/>
        <v>0.26563078061413248</v>
      </c>
      <c r="CD262" s="134">
        <f t="shared" si="568"/>
        <v>0.12320958783981295</v>
      </c>
      <c r="CE262" s="134">
        <f t="shared" si="568"/>
        <v>0.49303838646714371</v>
      </c>
      <c r="CF262" s="134">
        <f t="shared" si="568"/>
        <v>9.3080006972285245E-2</v>
      </c>
      <c r="CG262" s="134">
        <f t="shared" si="568"/>
        <v>0.23401371392122461</v>
      </c>
      <c r="CH262" s="108"/>
      <c r="CI262" s="108"/>
    </row>
    <row r="263" spans="2:113" x14ac:dyDescent="0.2">
      <c r="B263" s="101" t="s">
        <v>249</v>
      </c>
      <c r="H263" s="106">
        <f t="shared" si="557"/>
        <v>0.87352941176470589</v>
      </c>
      <c r="I263" s="106">
        <f t="shared" si="557"/>
        <v>0.83018867924528306</v>
      </c>
      <c r="J263" s="106">
        <f t="shared" si="557"/>
        <v>0.77333333333333343</v>
      </c>
      <c r="K263" s="106">
        <f t="shared" si="557"/>
        <v>0.43969465648854955</v>
      </c>
      <c r="L263" s="106">
        <f t="shared" si="557"/>
        <v>0.36891679748822614</v>
      </c>
      <c r="M263" s="106">
        <f t="shared" si="557"/>
        <v>0.27835051546391743</v>
      </c>
      <c r="N263" s="106">
        <f t="shared" si="557"/>
        <v>0.36090225563909772</v>
      </c>
      <c r="O263" s="106">
        <f t="shared" si="557"/>
        <v>0.40933191940615066</v>
      </c>
      <c r="P263" s="106">
        <f t="shared" si="557"/>
        <v>0.42775229357798161</v>
      </c>
      <c r="Q263" s="106">
        <f t="shared" si="557"/>
        <v>0.61189516129032251</v>
      </c>
      <c r="R263" s="106">
        <f t="shared" si="558"/>
        <v>0.65561694290976069</v>
      </c>
      <c r="S263" s="106">
        <f t="shared" si="558"/>
        <v>0.76373212942061697</v>
      </c>
      <c r="T263" s="106">
        <f t="shared" si="558"/>
        <v>0.81927710843373491</v>
      </c>
      <c r="U263" s="106">
        <f t="shared" si="558"/>
        <v>0.67354596622889296</v>
      </c>
      <c r="V263" s="106">
        <f t="shared" si="558"/>
        <v>0.64460511679644039</v>
      </c>
      <c r="W263" s="106">
        <f t="shared" si="558"/>
        <v>0.53327645051194539</v>
      </c>
      <c r="X263" s="106">
        <f t="shared" si="558"/>
        <v>0.46445916114790298</v>
      </c>
      <c r="Y263" s="106">
        <f t="shared" si="558"/>
        <v>0.43011958146487284</v>
      </c>
      <c r="Z263" s="106">
        <f t="shared" si="558"/>
        <v>0.45383834967872838</v>
      </c>
      <c r="AA263" s="106">
        <f t="shared" si="558"/>
        <v>0.56844741235392315</v>
      </c>
      <c r="AB263" s="106">
        <f t="shared" si="559"/>
        <v>0.56798311727464568</v>
      </c>
      <c r="AC263" s="106">
        <f t="shared" si="559"/>
        <v>0.63025868826757248</v>
      </c>
      <c r="AD263" s="106">
        <f t="shared" si="559"/>
        <v>0.58548499651081642</v>
      </c>
      <c r="AE263" s="106">
        <f t="shared" si="559"/>
        <v>0.53077878304062454</v>
      </c>
      <c r="AF263" s="106">
        <f t="shared" si="559"/>
        <v>0.51067102480292248</v>
      </c>
      <c r="AG263" s="106">
        <f t="shared" si="559"/>
        <v>0.4688251322327297</v>
      </c>
      <c r="AH263" s="106">
        <f t="shared" si="559"/>
        <v>0.48796948356807501</v>
      </c>
      <c r="AI263" s="106">
        <f t="shared" si="559"/>
        <v>0.4809363773322517</v>
      </c>
      <c r="AJ263" s="106">
        <f t="shared" si="559"/>
        <v>0.50120911289296166</v>
      </c>
      <c r="AK263" s="106">
        <f t="shared" si="559"/>
        <v>0.42274116106503712</v>
      </c>
      <c r="AL263" s="106">
        <f t="shared" si="560"/>
        <v>0.33494379806744234</v>
      </c>
      <c r="AM263" s="106">
        <f t="shared" si="560"/>
        <v>0.30213631739572744</v>
      </c>
      <c r="AN263" s="106">
        <f t="shared" si="560"/>
        <v>0.26426451886392543</v>
      </c>
      <c r="AO263" s="106">
        <f t="shared" si="560"/>
        <v>0.27504218438410799</v>
      </c>
      <c r="AP263" s="106">
        <f t="shared" si="560"/>
        <v>0.28392052588817496</v>
      </c>
      <c r="AQ263" s="106">
        <f t="shared" si="560"/>
        <v>0.24615384615384617</v>
      </c>
      <c r="AR263" s="106">
        <f t="shared" si="560"/>
        <v>0.16952789699570814</v>
      </c>
      <c r="AS263" s="106">
        <f t="shared" si="560"/>
        <v>0.10208132820019244</v>
      </c>
      <c r="AT263" s="106">
        <f t="shared" si="560"/>
        <v>0.22079042742909749</v>
      </c>
      <c r="AU263" s="106">
        <f t="shared" si="560"/>
        <v>0.31110146604938271</v>
      </c>
      <c r="AV263" s="106">
        <f t="shared" si="561"/>
        <v>0.45865825688073403</v>
      </c>
      <c r="AW263" s="106">
        <f t="shared" si="561"/>
        <v>0.55995851754816872</v>
      </c>
      <c r="AX263" s="106">
        <f t="shared" si="561"/>
        <v>0.33245370152207721</v>
      </c>
      <c r="AY263" s="106">
        <f t="shared" si="561"/>
        <v>0.200537021370508</v>
      </c>
      <c r="AZ263" s="106">
        <f t="shared" si="561"/>
        <v>6.1283855497464623E-2</v>
      </c>
      <c r="BA263" s="106">
        <f t="shared" si="561"/>
        <v>-1.4975507347795625E-2</v>
      </c>
      <c r="BB263" s="106">
        <f>+BB256/AX256-1</f>
        <v>-3.674494270759654E-2</v>
      </c>
      <c r="BC263" s="106">
        <f t="shared" si="562"/>
        <v>-4.2433898097368195E-2</v>
      </c>
      <c r="BD263" s="106">
        <f t="shared" si="562"/>
        <v>4.0854878139121364E-2</v>
      </c>
      <c r="BE263" s="106">
        <f t="shared" si="562"/>
        <v>0.11885478829212848</v>
      </c>
      <c r="BF263" s="106">
        <f t="shared" si="562"/>
        <v>0.23519477181774784</v>
      </c>
      <c r="BG263" s="106">
        <f t="shared" si="562"/>
        <v>0.23843348051449409</v>
      </c>
      <c r="BH263" s="106">
        <f t="shared" si="562"/>
        <v>0.26810433792391719</v>
      </c>
      <c r="BI263" s="106">
        <f t="shared" si="562"/>
        <v>0.21687091243888501</v>
      </c>
      <c r="BJ263" s="106">
        <f t="shared" si="562"/>
        <v>0.18553636714918409</v>
      </c>
      <c r="BK263" s="106"/>
      <c r="BL263" s="106"/>
      <c r="BM263" s="106"/>
      <c r="BN263" s="106"/>
      <c r="BO263" s="106"/>
      <c r="BP263" s="106"/>
      <c r="BQ263" s="106"/>
      <c r="BR263" s="164">
        <f>+IFERROR(BR256/BQ256-1,"n/a")</f>
        <v>0.77777777777777768</v>
      </c>
      <c r="BS263" s="164">
        <f t="shared" ref="BS263:CG263" si="569">+IFERROR(BS256/BR256-1,"n/a")</f>
        <v>1.8088235294117645</v>
      </c>
      <c r="BT263" s="164">
        <f t="shared" si="569"/>
        <v>1.4463350785340312</v>
      </c>
      <c r="BU263" s="164">
        <f t="shared" si="569"/>
        <v>0.68753344034242914</v>
      </c>
      <c r="BV263" s="164">
        <f t="shared" si="569"/>
        <v>0.35668991756499691</v>
      </c>
      <c r="BW263" s="164">
        <f t="shared" si="569"/>
        <v>0.63262444496377657</v>
      </c>
      <c r="BX263" s="164">
        <f t="shared" si="569"/>
        <v>0.64500429430289152</v>
      </c>
      <c r="BY263" s="164">
        <f t="shared" si="569"/>
        <v>0.48625130525583016</v>
      </c>
      <c r="BZ263" s="164">
        <f t="shared" si="569"/>
        <v>0.57406323185011709</v>
      </c>
      <c r="CA263" s="164">
        <f t="shared" si="569"/>
        <v>0.48566114933978044</v>
      </c>
      <c r="CB263" s="164">
        <f t="shared" si="569"/>
        <v>0.37729708076711233</v>
      </c>
      <c r="CC263" s="164">
        <f t="shared" si="569"/>
        <v>0.26617828837344581</v>
      </c>
      <c r="CD263" s="164">
        <f t="shared" si="569"/>
        <v>0.20836982269758098</v>
      </c>
      <c r="CE263" s="164">
        <f t="shared" si="569"/>
        <v>0.36551461939669005</v>
      </c>
      <c r="CF263" s="164">
        <f t="shared" si="569"/>
        <v>-1.1249934745158119E-2</v>
      </c>
      <c r="CG263" s="164">
        <f t="shared" si="569"/>
        <v>0.16109502732288528</v>
      </c>
      <c r="CH263" s="106"/>
      <c r="CI263" s="106"/>
    </row>
    <row r="264" spans="2:113" x14ac:dyDescent="0.2">
      <c r="B264" s="101"/>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c r="AE264" s="106"/>
      <c r="AF264" s="106"/>
      <c r="AG264" s="106"/>
      <c r="AH264" s="106"/>
      <c r="AI264" s="106"/>
      <c r="AJ264" s="106"/>
      <c r="AK264" s="106"/>
      <c r="AL264" s="106"/>
      <c r="AM264" s="106"/>
      <c r="AN264" s="106"/>
      <c r="AO264" s="106"/>
      <c r="AP264" s="106"/>
      <c r="AQ264" s="106"/>
      <c r="AR264" s="106"/>
      <c r="AS264" s="106"/>
      <c r="AT264" s="106"/>
      <c r="AU264" s="106"/>
      <c r="AV264" s="106"/>
      <c r="AW264" s="106"/>
      <c r="AX264" s="106"/>
      <c r="AY264" s="106"/>
      <c r="AZ264" s="106"/>
      <c r="BA264" s="106"/>
      <c r="BB264" s="106"/>
      <c r="BC264" s="106"/>
      <c r="BD264" s="106"/>
      <c r="BE264" s="106"/>
      <c r="BF264" s="106"/>
      <c r="BG264" s="106"/>
      <c r="BH264" s="106"/>
      <c r="BI264" s="106"/>
      <c r="BJ264" s="106"/>
      <c r="BK264" s="106"/>
      <c r="BL264" s="106"/>
      <c r="BM264" s="106"/>
      <c r="BN264" s="106"/>
      <c r="BO264" s="106"/>
      <c r="BP264" s="106"/>
      <c r="BQ264" s="106"/>
      <c r="BR264" s="106"/>
      <c r="BS264" s="106"/>
      <c r="BT264" s="106"/>
      <c r="BU264" s="106"/>
      <c r="BV264" s="106"/>
      <c r="BW264" s="106"/>
      <c r="BX264" s="106"/>
      <c r="BY264" s="106"/>
      <c r="BZ264" s="106"/>
      <c r="CA264" s="106"/>
      <c r="CB264" s="106"/>
      <c r="CC264" s="106"/>
      <c r="CD264" s="106"/>
    </row>
    <row r="265" spans="2:113" x14ac:dyDescent="0.2">
      <c r="B265" s="89" t="s">
        <v>19</v>
      </c>
    </row>
    <row r="266" spans="2:113" x14ac:dyDescent="0.2">
      <c r="B266" s="101" t="s">
        <v>256</v>
      </c>
      <c r="H266" s="225" t="s">
        <v>127</v>
      </c>
      <c r="I266" s="225" t="s">
        <v>127</v>
      </c>
      <c r="J266" s="225" t="s">
        <v>127</v>
      </c>
      <c r="K266" s="225" t="s">
        <v>127</v>
      </c>
      <c r="L266" s="225" t="s">
        <v>127</v>
      </c>
      <c r="M266" s="225" t="s">
        <v>127</v>
      </c>
      <c r="N266" s="225" t="s">
        <v>127</v>
      </c>
      <c r="O266" s="181">
        <v>0.46</v>
      </c>
      <c r="P266" s="181">
        <v>0.39</v>
      </c>
      <c r="Q266" s="181">
        <v>0.43</v>
      </c>
      <c r="R266" s="181">
        <v>0.16</v>
      </c>
      <c r="S266" s="181">
        <v>-0.08</v>
      </c>
      <c r="T266" s="181">
        <v>-0.17</v>
      </c>
      <c r="U266" s="181">
        <v>-0.25</v>
      </c>
      <c r="V266" s="181">
        <v>-0.56000000000000005</v>
      </c>
      <c r="W266" s="181">
        <v>-0.65</v>
      </c>
      <c r="X266" s="181">
        <v>-0.62</v>
      </c>
      <c r="Y266" s="181">
        <v>-0.55000000000000004</v>
      </c>
      <c r="Z266" s="181">
        <v>-0.1</v>
      </c>
      <c r="AA266" s="181">
        <v>0.28999999999999998</v>
      </c>
      <c r="AB266" s="181">
        <v>0.5</v>
      </c>
      <c r="AC266" s="181">
        <v>0.49</v>
      </c>
      <c r="AD266" s="181">
        <v>0.5</v>
      </c>
      <c r="AE266" s="181">
        <v>0.49</v>
      </c>
      <c r="AF266" s="181">
        <v>0.32</v>
      </c>
      <c r="AG266" s="181">
        <v>0.19</v>
      </c>
      <c r="AH266" s="181">
        <v>0.1</v>
      </c>
      <c r="AI266" s="181">
        <v>0.04</v>
      </c>
      <c r="AJ266" s="181">
        <v>0.08</v>
      </c>
      <c r="AK266" s="181">
        <v>0.21</v>
      </c>
      <c r="AL266" s="181">
        <v>0.25</v>
      </c>
      <c r="AM266" s="181">
        <v>0.34</v>
      </c>
      <c r="AN266" s="181">
        <v>0.32</v>
      </c>
      <c r="AO266" s="181">
        <v>0.33</v>
      </c>
      <c r="AP266" s="181">
        <v>0.37</v>
      </c>
      <c r="AQ266" s="181">
        <v>0.31</v>
      </c>
      <c r="AR266" s="181">
        <v>0.39</v>
      </c>
      <c r="AS266" s="181">
        <v>0.4</v>
      </c>
      <c r="AT266" s="181">
        <v>0.35</v>
      </c>
      <c r="AU266" s="181">
        <v>0.25</v>
      </c>
      <c r="AV266" s="181">
        <v>0.12</v>
      </c>
      <c r="AW266" s="181">
        <v>0.06</v>
      </c>
      <c r="AX266" s="181">
        <v>0.09</v>
      </c>
      <c r="AY266" s="181">
        <v>0.13</v>
      </c>
      <c r="AZ266" s="181">
        <v>0.15</v>
      </c>
      <c r="BA266" s="181">
        <v>0.15</v>
      </c>
      <c r="BB266" s="181">
        <v>0.17</v>
      </c>
      <c r="BC266" s="181">
        <v>0.23</v>
      </c>
      <c r="BD266" s="181">
        <v>0.26</v>
      </c>
      <c r="BE266" s="181">
        <v>0.34</v>
      </c>
      <c r="BF266" s="181">
        <v>0.31</v>
      </c>
      <c r="BG266" s="181">
        <v>0.21</v>
      </c>
      <c r="BH266" s="181">
        <v>0.2</v>
      </c>
      <c r="BI266" s="181">
        <v>0.1</v>
      </c>
      <c r="BJ266" s="181">
        <v>7.0000000000000007E-2</v>
      </c>
      <c r="BK266" s="181"/>
      <c r="BL266" s="181"/>
      <c r="BM266" s="181"/>
      <c r="BN266" s="181"/>
      <c r="BO266" s="181"/>
      <c r="BP266" s="161"/>
      <c r="BQ266" s="161"/>
      <c r="BR266" s="225" t="s">
        <v>127</v>
      </c>
      <c r="BS266" s="225" t="s">
        <v>127</v>
      </c>
      <c r="BT266" s="225" t="s">
        <v>127</v>
      </c>
      <c r="BU266" s="225" t="s">
        <v>127</v>
      </c>
      <c r="BV266" s="225" t="s">
        <v>127</v>
      </c>
      <c r="BW266" s="161">
        <f>+ROUND(SUMPRODUCT(P266:S266,L$124:O$124)/BV$124,2)</f>
        <v>0.19</v>
      </c>
      <c r="BX266" s="161">
        <f>+ROUND(SUMPRODUCT(T266:W266,P$124:S$124)/BW$124,2)</f>
        <v>-0.45</v>
      </c>
      <c r="BY266" s="161">
        <f>+ROUND(SUMPRODUCT(X266:AA266,T$124:W$124)/BX$124,2)</f>
        <v>-0.19</v>
      </c>
      <c r="BZ266" s="161">
        <f>+ROUND(SUMPRODUCT(AB266:AE266,X$124:AA$124)/BY$124,2)</f>
        <v>0.49</v>
      </c>
      <c r="CA266" s="161">
        <f>+ROUND(SUMPRODUCT(AF266:AI266,AB$124:AE$124)/BZ$124,2)</f>
        <v>0.14000000000000001</v>
      </c>
      <c r="CB266" s="161">
        <f>+ROUND(SUMPRODUCT(AJ266:AM266,AF$124:AI$124)/CA$124,2)</f>
        <v>0.24</v>
      </c>
      <c r="CC266" s="161">
        <f>+ROUND(SUMPRODUCT(AN266:AQ266,AJ$124:AM$124)/CB$124,2)</f>
        <v>0.33</v>
      </c>
      <c r="CD266" s="161">
        <f>+ROUND(SUMPRODUCT(AR266:AU266,AN$124:AQ$124)/CC$124,2)</f>
        <v>0.34</v>
      </c>
      <c r="CE266" s="161">
        <f>+ROUND(SUMPRODUCT(AV266:AY266,AO$124:AR$124)/CD$124,2)</f>
        <v>0.09</v>
      </c>
      <c r="CF266" s="161">
        <f>+ROUND(SUMPRODUCT(AZ266:BC266,AP$124:AS$124)/CE$124,2)</f>
        <v>0.11</v>
      </c>
      <c r="CG266" s="161">
        <f>+ROUND(SUMPRODUCT(BD266:BG266,AQ$124:AT$124)/CF$124,2)</f>
        <v>0.19</v>
      </c>
      <c r="CH266" s="161"/>
      <c r="CI266" s="161"/>
      <c r="CJ266" s="90"/>
    </row>
    <row r="267" spans="2:113" x14ac:dyDescent="0.2">
      <c r="B267" s="101" t="s">
        <v>255</v>
      </c>
      <c r="H267" s="225" t="s">
        <v>127</v>
      </c>
      <c r="I267" s="225" t="s">
        <v>127</v>
      </c>
      <c r="J267" s="225" t="s">
        <v>127</v>
      </c>
      <c r="K267" s="225" t="s">
        <v>127</v>
      </c>
      <c r="L267" s="225" t="s">
        <v>127</v>
      </c>
      <c r="M267" s="225" t="s">
        <v>127</v>
      </c>
      <c r="N267" s="225" t="s">
        <v>127</v>
      </c>
      <c r="O267" s="181">
        <v>-0.04</v>
      </c>
      <c r="P267" s="181">
        <v>0.03</v>
      </c>
      <c r="Q267" s="181">
        <v>0.13</v>
      </c>
      <c r="R267" s="181">
        <v>0.42</v>
      </c>
      <c r="S267" s="181">
        <v>0.92</v>
      </c>
      <c r="T267" s="181">
        <v>1.18</v>
      </c>
      <c r="U267" s="181">
        <v>1.23</v>
      </c>
      <c r="V267" s="181">
        <v>2.74</v>
      </c>
      <c r="W267" s="181">
        <v>3.35</v>
      </c>
      <c r="X267" s="181">
        <v>2.85</v>
      </c>
      <c r="Y267" s="181">
        <v>2.2000000000000002</v>
      </c>
      <c r="Z267" s="181">
        <v>0.61</v>
      </c>
      <c r="AA267" s="181">
        <v>0.21</v>
      </c>
      <c r="AB267" s="181">
        <v>0.05</v>
      </c>
      <c r="AC267" s="181">
        <v>0.09</v>
      </c>
      <c r="AD267" s="181">
        <v>0.06</v>
      </c>
      <c r="AE267" s="181">
        <v>0.03</v>
      </c>
      <c r="AF267" s="181">
        <v>0.14000000000000001</v>
      </c>
      <c r="AG267" s="181">
        <v>0.24</v>
      </c>
      <c r="AH267" s="181">
        <v>0.35</v>
      </c>
      <c r="AI267" s="181">
        <v>0.43</v>
      </c>
      <c r="AJ267" s="181">
        <v>0.39</v>
      </c>
      <c r="AK267" s="181">
        <v>0.17</v>
      </c>
      <c r="AL267" s="181">
        <v>7.0000000000000007E-2</v>
      </c>
      <c r="AM267" s="181">
        <v>-0.02</v>
      </c>
      <c r="AN267" s="181">
        <v>-0.04</v>
      </c>
      <c r="AO267" s="181">
        <v>-0.04</v>
      </c>
      <c r="AP267" s="181">
        <v>-0.06</v>
      </c>
      <c r="AQ267" s="181">
        <v>-0.05</v>
      </c>
      <c r="AR267" s="181">
        <v>-0.16</v>
      </c>
      <c r="AS267" s="181">
        <v>-0.21</v>
      </c>
      <c r="AT267" s="181">
        <v>-0.09</v>
      </c>
      <c r="AU267" s="181">
        <v>0.05</v>
      </c>
      <c r="AV267" s="181">
        <v>0.3</v>
      </c>
      <c r="AW267" s="181">
        <v>0.47</v>
      </c>
      <c r="AX267" s="181">
        <v>0.22</v>
      </c>
      <c r="AY267" s="181">
        <v>0.06</v>
      </c>
      <c r="AZ267" s="181">
        <v>-0.08</v>
      </c>
      <c r="BA267" s="181">
        <v>-0.14000000000000001</v>
      </c>
      <c r="BB267" s="181">
        <v>-0.18</v>
      </c>
      <c r="BC267" s="181">
        <v>-0.22</v>
      </c>
      <c r="BD267" s="181">
        <v>-0.17</v>
      </c>
      <c r="BE267" s="181">
        <v>-0.16</v>
      </c>
      <c r="BF267" s="181">
        <v>-0.06</v>
      </c>
      <c r="BG267" s="181">
        <v>0.02</v>
      </c>
      <c r="BH267" s="181">
        <v>0.06</v>
      </c>
      <c r="BI267" s="181">
        <v>0.1</v>
      </c>
      <c r="BJ267" s="181">
        <v>0.11</v>
      </c>
      <c r="BK267" s="181"/>
      <c r="BL267" s="181"/>
      <c r="BM267" s="181"/>
      <c r="BN267" s="181"/>
      <c r="BO267" s="181"/>
      <c r="BP267" s="181"/>
      <c r="BQ267" s="161"/>
      <c r="BR267" s="225" t="s">
        <v>127</v>
      </c>
      <c r="BS267" s="225" t="s">
        <v>127</v>
      </c>
      <c r="BT267" s="225" t="s">
        <v>127</v>
      </c>
      <c r="BU267" s="225" t="s">
        <v>127</v>
      </c>
      <c r="BV267" s="225" t="s">
        <v>127</v>
      </c>
      <c r="BW267" s="161">
        <f>+ROUND(SUMPRODUCT(P267:S267,L$124:O$124)/BV$124,2)</f>
        <v>0.43</v>
      </c>
      <c r="BX267" s="161">
        <f>+ROUND(SUMPRODUCT(T267:W267,P$124:S$124)/BW$124,2)</f>
        <v>2.3199999999999998</v>
      </c>
      <c r="BY267" s="161">
        <f>+ROUND(SUMPRODUCT(X267:AA267,T$124:W$124)/BX$124,2)</f>
        <v>1.3</v>
      </c>
      <c r="BZ267" s="161">
        <f>+ROUND(SUMPRODUCT(AB267:AE267,X$124:AA$124)/BY$124,2)</f>
        <v>0.05</v>
      </c>
      <c r="CA267" s="161">
        <f>+ROUND(SUMPRODUCT(AF267:AI267,AB$124:AE$124)/BZ$124,2)</f>
        <v>0.31</v>
      </c>
      <c r="CB267" s="161">
        <f>+ROUND(SUMPRODUCT(AJ267:AM267,AF$124:AI$124)/CA$124,2)</f>
        <v>0.13</v>
      </c>
      <c r="CC267" s="161">
        <f>+ROUND(SUMPRODUCT(AN267:AQ267,AJ$124:AM$124)/CB$124,2)</f>
        <v>-0.05</v>
      </c>
      <c r="CD267" s="161">
        <f>+ROUND(SUMPRODUCT(AR267:AU267,AN$124:AQ$124)/CC$124,2)</f>
        <v>-0.09</v>
      </c>
      <c r="CE267" s="161">
        <f>+ROUND(SUMPRODUCT(AV267:AY267,AO$124:AR$124)/CD$124,2)</f>
        <v>0.22</v>
      </c>
      <c r="CF267" s="161">
        <f>+ROUND(SUMPRODUCT(AZ267:BC267,AP$124:AS$124)/CE$124,2)</f>
        <v>-0.1</v>
      </c>
      <c r="CG267" s="161">
        <f>+ROUND(SUMPRODUCT(BD267:BG267,AQ$124:AT$124)/CF$124,2)</f>
        <v>-0.06</v>
      </c>
      <c r="CH267" s="161"/>
      <c r="CI267" s="161"/>
      <c r="CJ267" s="64"/>
    </row>
    <row r="268" spans="2:113" x14ac:dyDescent="0.2">
      <c r="B268" s="66"/>
    </row>
    <row r="269" spans="2:113" x14ac:dyDescent="0.2">
      <c r="B269" s="54" t="s">
        <v>253</v>
      </c>
    </row>
    <row r="270" spans="2:113" x14ac:dyDescent="0.2">
      <c r="B270" t="s">
        <v>251</v>
      </c>
      <c r="D270" s="83" t="s">
        <v>127</v>
      </c>
      <c r="E270" s="83" t="s">
        <v>127</v>
      </c>
      <c r="F270" s="83" t="s">
        <v>127</v>
      </c>
      <c r="G270" s="83" t="s">
        <v>127</v>
      </c>
      <c r="H270" s="83" t="s">
        <v>127</v>
      </c>
      <c r="I270" s="83" t="s">
        <v>127</v>
      </c>
      <c r="J270" s="83" t="s">
        <v>127</v>
      </c>
      <c r="K270" s="83" t="s">
        <v>127</v>
      </c>
      <c r="L270" s="83" t="s">
        <v>127</v>
      </c>
      <c r="M270" s="83" t="s">
        <v>127</v>
      </c>
      <c r="N270" s="91">
        <f>+N280*N124</f>
        <v>152.04000000000002</v>
      </c>
      <c r="O270" s="91">
        <f>+O280*O124</f>
        <v>305.67</v>
      </c>
      <c r="P270" s="81">
        <v>377</v>
      </c>
      <c r="Q270" s="81">
        <v>660</v>
      </c>
      <c r="R270" s="81">
        <v>881</v>
      </c>
      <c r="S270" s="81">
        <v>1250</v>
      </c>
      <c r="T270" s="81">
        <v>1300</v>
      </c>
      <c r="U270" s="81">
        <v>1660</v>
      </c>
      <c r="V270" s="81">
        <v>1900</v>
      </c>
      <c r="W270" s="81">
        <v>2500</v>
      </c>
      <c r="X270" s="81">
        <v>2400</v>
      </c>
      <c r="Y270" s="81">
        <v>2900</v>
      </c>
      <c r="Z270" s="81">
        <v>3400</v>
      </c>
      <c r="AA270" s="81">
        <v>4500</v>
      </c>
      <c r="AB270" s="81">
        <v>4200</v>
      </c>
      <c r="AC270" s="81">
        <v>5200</v>
      </c>
      <c r="AD270" s="81">
        <v>5700</v>
      </c>
      <c r="AE270" s="81">
        <v>7200</v>
      </c>
      <c r="AF270" s="81">
        <v>6700</v>
      </c>
      <c r="AG270" s="81">
        <v>8000</v>
      </c>
      <c r="AH270" s="81">
        <v>8900</v>
      </c>
      <c r="AI270" s="81">
        <v>11400</v>
      </c>
      <c r="AJ270" s="81">
        <v>10700</v>
      </c>
      <c r="AK270" s="81">
        <v>11900</v>
      </c>
      <c r="AL270" s="81">
        <v>12500</v>
      </c>
      <c r="AM270" s="81">
        <v>15500</v>
      </c>
      <c r="AN270" s="81">
        <v>13900</v>
      </c>
      <c r="AO270" s="81">
        <v>15600</v>
      </c>
      <c r="AP270" s="83" t="s">
        <v>127</v>
      </c>
      <c r="AQ270" s="83" t="s">
        <v>127</v>
      </c>
      <c r="AR270" s="83" t="s">
        <v>127</v>
      </c>
      <c r="AS270" s="83" t="s">
        <v>127</v>
      </c>
      <c r="AT270" s="83" t="s">
        <v>127</v>
      </c>
      <c r="AU270" s="83" t="s">
        <v>127</v>
      </c>
      <c r="AV270" s="83" t="s">
        <v>127</v>
      </c>
      <c r="AW270" s="83" t="s">
        <v>127</v>
      </c>
      <c r="AX270" s="83" t="s">
        <v>127</v>
      </c>
      <c r="AY270" s="83" t="s">
        <v>127</v>
      </c>
      <c r="AZ270" s="83" t="s">
        <v>127</v>
      </c>
      <c r="BA270" s="83" t="s">
        <v>127</v>
      </c>
      <c r="BB270" s="83" t="s">
        <v>127</v>
      </c>
      <c r="BC270" s="83" t="s">
        <v>127</v>
      </c>
      <c r="BD270" s="83" t="s">
        <v>127</v>
      </c>
      <c r="BE270" s="83" t="s">
        <v>127</v>
      </c>
      <c r="BF270" s="83" t="s">
        <v>127</v>
      </c>
      <c r="BG270" s="83" t="s">
        <v>127</v>
      </c>
      <c r="BH270" s="83" t="s">
        <v>127</v>
      </c>
      <c r="BI270" s="83" t="s">
        <v>127</v>
      </c>
      <c r="BJ270" s="83" t="s">
        <v>127</v>
      </c>
      <c r="BK270" s="81"/>
      <c r="BL270" s="81"/>
      <c r="BM270" s="81"/>
      <c r="BN270" s="81"/>
      <c r="BO270" s="81"/>
      <c r="BQ270" s="83" t="s">
        <v>127</v>
      </c>
      <c r="BR270" s="83" t="s">
        <v>127</v>
      </c>
      <c r="BS270" s="83" t="s">
        <v>127</v>
      </c>
      <c r="BT270" s="83" t="s">
        <v>127</v>
      </c>
      <c r="BU270" s="83" t="s">
        <v>127</v>
      </c>
      <c r="BV270" s="83" t="s">
        <v>127</v>
      </c>
      <c r="BW270" s="80">
        <f>+SUM(P270:S270)</f>
        <v>3168</v>
      </c>
      <c r="BX270" s="80">
        <f>+SUM(T270:W270)</f>
        <v>7360</v>
      </c>
      <c r="BY270" s="80">
        <f>+SUM(X270:AA270)</f>
        <v>13200</v>
      </c>
      <c r="BZ270" s="80">
        <f>+SUM(AB270:AE270)</f>
        <v>22300</v>
      </c>
      <c r="CA270" s="80">
        <f>+SUM(AF270:AI270)</f>
        <v>35000</v>
      </c>
      <c r="CB270" s="80">
        <f>+SUM(AJ270:AM270)</f>
        <v>50600</v>
      </c>
      <c r="CC270" s="83" t="s">
        <v>127</v>
      </c>
      <c r="CD270" s="83" t="s">
        <v>127</v>
      </c>
      <c r="CE270" s="83" t="s">
        <v>127</v>
      </c>
      <c r="CF270" s="83" t="s">
        <v>127</v>
      </c>
      <c r="CG270" s="83" t="s">
        <v>127</v>
      </c>
    </row>
    <row r="271" spans="2:113" ht="13.5" x14ac:dyDescent="0.35">
      <c r="B271" t="s">
        <v>252</v>
      </c>
      <c r="D271" s="221" t="str">
        <f t="shared" ref="D271:M271" si="570">IFERROR(ROUND(D124/1000,1)*1000-D270,"n/a")</f>
        <v>n/a</v>
      </c>
      <c r="E271" s="221" t="str">
        <f t="shared" si="570"/>
        <v>n/a</v>
      </c>
      <c r="F271" s="221" t="str">
        <f t="shared" si="570"/>
        <v>n/a</v>
      </c>
      <c r="G271" s="221" t="str">
        <f t="shared" si="570"/>
        <v>n/a</v>
      </c>
      <c r="H271" s="221" t="str">
        <f t="shared" si="570"/>
        <v>n/a</v>
      </c>
      <c r="I271" s="221" t="str">
        <f t="shared" si="570"/>
        <v>n/a</v>
      </c>
      <c r="J271" s="221" t="str">
        <f t="shared" si="570"/>
        <v>n/a</v>
      </c>
      <c r="K271" s="221" t="str">
        <f t="shared" si="570"/>
        <v>n/a</v>
      </c>
      <c r="L271" s="221" t="str">
        <f t="shared" si="570"/>
        <v>n/a</v>
      </c>
      <c r="M271" s="221" t="str">
        <f t="shared" si="570"/>
        <v>n/a</v>
      </c>
      <c r="N271" s="72">
        <f>N124-N270</f>
        <v>933.96</v>
      </c>
      <c r="O271" s="72">
        <f>O124-O270</f>
        <v>1023.3299999999999</v>
      </c>
      <c r="P271" s="72">
        <f>P124-P270</f>
        <v>868</v>
      </c>
      <c r="Q271" s="72">
        <f>ROUND(Q124/1000,2)*1000-Q270</f>
        <v>940</v>
      </c>
      <c r="R271" s="72">
        <f>R124-R270</f>
        <v>917</v>
      </c>
      <c r="S271" s="72">
        <f>ROUND(S124/1000,2)*1000-S270</f>
        <v>1090</v>
      </c>
      <c r="T271" s="72">
        <f>ROUND(T124/1000,2)*1000-T270</f>
        <v>970</v>
      </c>
      <c r="U271" s="72">
        <f>ROUND(U124/1000,2)*1000-U270</f>
        <v>1020</v>
      </c>
      <c r="V271" s="72">
        <f t="shared" ref="V271:AO271" si="571">ROUND(V124/1000,1)*1000-V270</f>
        <v>1100</v>
      </c>
      <c r="W271" s="72">
        <f t="shared" si="571"/>
        <v>1100</v>
      </c>
      <c r="X271" s="72">
        <f t="shared" si="571"/>
        <v>900</v>
      </c>
      <c r="Y271" s="72">
        <f t="shared" si="571"/>
        <v>900</v>
      </c>
      <c r="Z271" s="72">
        <f t="shared" si="571"/>
        <v>900</v>
      </c>
      <c r="AA271" s="72">
        <f t="shared" si="571"/>
        <v>1100</v>
      </c>
      <c r="AB271" s="72">
        <f t="shared" si="571"/>
        <v>1000</v>
      </c>
      <c r="AC271" s="72">
        <f t="shared" si="571"/>
        <v>1000</v>
      </c>
      <c r="AD271" s="72">
        <f t="shared" si="571"/>
        <v>1100</v>
      </c>
      <c r="AE271" s="72">
        <f t="shared" si="571"/>
        <v>1400</v>
      </c>
      <c r="AF271" s="72">
        <f t="shared" si="571"/>
        <v>1200</v>
      </c>
      <c r="AG271" s="72">
        <f t="shared" si="571"/>
        <v>1200</v>
      </c>
      <c r="AH271" s="72">
        <f t="shared" si="571"/>
        <v>1200</v>
      </c>
      <c r="AI271" s="72">
        <f t="shared" si="571"/>
        <v>1400</v>
      </c>
      <c r="AJ271" s="72">
        <f t="shared" si="571"/>
        <v>1100</v>
      </c>
      <c r="AK271" s="72">
        <f t="shared" si="571"/>
        <v>1100</v>
      </c>
      <c r="AL271" s="72">
        <f t="shared" si="571"/>
        <v>1000</v>
      </c>
      <c r="AM271" s="72">
        <f t="shared" si="571"/>
        <v>1100</v>
      </c>
      <c r="AN271" s="72">
        <f t="shared" si="571"/>
        <v>1000</v>
      </c>
      <c r="AO271" s="72">
        <f t="shared" si="571"/>
        <v>1000</v>
      </c>
      <c r="AP271" s="221" t="str">
        <f t="shared" ref="AP271:BH271" si="572">IFERROR(ROUND(AP124/1000,1)*1000-AP270,"n/a")</f>
        <v>n/a</v>
      </c>
      <c r="AQ271" s="221" t="str">
        <f t="shared" si="572"/>
        <v>n/a</v>
      </c>
      <c r="AR271" s="221" t="str">
        <f t="shared" si="572"/>
        <v>n/a</v>
      </c>
      <c r="AS271" s="221" t="str">
        <f t="shared" si="572"/>
        <v>n/a</v>
      </c>
      <c r="AT271" s="221" t="str">
        <f t="shared" si="572"/>
        <v>n/a</v>
      </c>
      <c r="AU271" s="221" t="str">
        <f t="shared" si="572"/>
        <v>n/a</v>
      </c>
      <c r="AV271" s="221" t="str">
        <f t="shared" si="572"/>
        <v>n/a</v>
      </c>
      <c r="AW271" s="221" t="str">
        <f t="shared" si="572"/>
        <v>n/a</v>
      </c>
      <c r="AX271" s="221" t="str">
        <f t="shared" si="572"/>
        <v>n/a</v>
      </c>
      <c r="AY271" s="221" t="str">
        <f t="shared" si="572"/>
        <v>n/a</v>
      </c>
      <c r="AZ271" s="221" t="str">
        <f t="shared" si="572"/>
        <v>n/a</v>
      </c>
      <c r="BA271" s="221" t="str">
        <f t="shared" si="572"/>
        <v>n/a</v>
      </c>
      <c r="BB271" s="221" t="str">
        <f t="shared" si="572"/>
        <v>n/a</v>
      </c>
      <c r="BC271" s="221" t="str">
        <f t="shared" si="572"/>
        <v>n/a</v>
      </c>
      <c r="BD271" s="221" t="str">
        <f t="shared" si="572"/>
        <v>n/a</v>
      </c>
      <c r="BE271" s="221" t="str">
        <f t="shared" si="572"/>
        <v>n/a</v>
      </c>
      <c r="BF271" s="221" t="str">
        <f t="shared" si="572"/>
        <v>n/a</v>
      </c>
      <c r="BG271" s="221" t="str">
        <f t="shared" si="572"/>
        <v>n/a</v>
      </c>
      <c r="BH271" s="221" t="str">
        <f t="shared" si="572"/>
        <v>n/a</v>
      </c>
      <c r="BI271" s="221" t="str">
        <f>IFERROR(ROUND(BI124/1000,1)*1000-BI270,"n/a")</f>
        <v>n/a</v>
      </c>
      <c r="BJ271" s="221" t="str">
        <f>IFERROR(ROUND(BJ124/1000,1)*1000-BJ270,"n/a")</f>
        <v>n/a</v>
      </c>
      <c r="BK271" s="72"/>
      <c r="BL271" s="72"/>
      <c r="BM271" s="72"/>
      <c r="BN271" s="72"/>
      <c r="BO271" s="72"/>
      <c r="BP271" s="112"/>
      <c r="BQ271" s="221" t="str">
        <f t="shared" ref="BQ271:BV271" si="573">IFERROR(ROUND(BQ124/1000,1)*1000-BQ270,"n/a")</f>
        <v>n/a</v>
      </c>
      <c r="BR271" s="221" t="str">
        <f t="shared" si="573"/>
        <v>n/a</v>
      </c>
      <c r="BS271" s="221" t="str">
        <f t="shared" si="573"/>
        <v>n/a</v>
      </c>
      <c r="BT271" s="221" t="str">
        <f t="shared" si="573"/>
        <v>n/a</v>
      </c>
      <c r="BU271" s="221" t="str">
        <f t="shared" si="573"/>
        <v>n/a</v>
      </c>
      <c r="BV271" s="221" t="str">
        <f t="shared" si="573"/>
        <v>n/a</v>
      </c>
      <c r="BW271" s="72">
        <f>+SUM(P271:S271)</f>
        <v>3815</v>
      </c>
      <c r="BX271" s="72">
        <f>+SUM(T271:W271)</f>
        <v>4190</v>
      </c>
      <c r="BY271" s="72">
        <f>+SUM(X271:AA271)</f>
        <v>3800</v>
      </c>
      <c r="BZ271" s="72">
        <f>+SUM(AB271:AE271)</f>
        <v>4500</v>
      </c>
      <c r="CA271" s="72">
        <f>+SUM(AF271:AI271)</f>
        <v>5000</v>
      </c>
      <c r="CB271" s="72">
        <f>+SUM(AJ271:AM271)</f>
        <v>4300</v>
      </c>
      <c r="CC271" s="221" t="str">
        <f>IFERROR(ROUND(CC124/1000,1)*1000-CC270,"n/a")</f>
        <v>n/a</v>
      </c>
      <c r="CD271" s="221" t="str">
        <f>IFERROR(ROUND(CD124/1000,1)*1000-CD270,"n/a")</f>
        <v>n/a</v>
      </c>
      <c r="CE271" s="221" t="str">
        <f>IFERROR(ROUND(CE124/1000,1)*1000-CE270,"n/a")</f>
        <v>n/a</v>
      </c>
      <c r="CF271" s="221" t="str">
        <f>IFERROR(ROUND(CF124/1000,1)*1000-CF270,"n/a")</f>
        <v>n/a</v>
      </c>
      <c r="CG271" s="221" t="str">
        <f>IFERROR(ROUND(CG124/1000,1)*1000-CG270,"n/a")</f>
        <v>n/a</v>
      </c>
    </row>
    <row r="272" spans="2:113" x14ac:dyDescent="0.2">
      <c r="B272" s="110" t="s">
        <v>249</v>
      </c>
      <c r="D272" s="222">
        <f>+D256</f>
        <v>340</v>
      </c>
      <c r="E272" s="222">
        <f t="shared" ref="E272:M272" si="574">+E256</f>
        <v>424</v>
      </c>
      <c r="F272" s="222">
        <f t="shared" si="574"/>
        <v>450</v>
      </c>
      <c r="G272" s="222">
        <f t="shared" si="574"/>
        <v>655</v>
      </c>
      <c r="H272" s="222">
        <f t="shared" si="574"/>
        <v>637</v>
      </c>
      <c r="I272" s="222">
        <f t="shared" si="574"/>
        <v>776</v>
      </c>
      <c r="J272" s="222">
        <f t="shared" si="574"/>
        <v>798</v>
      </c>
      <c r="K272" s="222">
        <f t="shared" si="574"/>
        <v>943</v>
      </c>
      <c r="L272" s="222">
        <f t="shared" si="574"/>
        <v>872</v>
      </c>
      <c r="M272" s="222">
        <f t="shared" si="574"/>
        <v>992</v>
      </c>
      <c r="N272" s="117">
        <f>SUM(N270:N271)</f>
        <v>1086</v>
      </c>
      <c r="O272" s="117">
        <f t="shared" ref="O272:AO272" si="575">SUM(O270:O271)</f>
        <v>1329</v>
      </c>
      <c r="P272" s="117">
        <f t="shared" si="575"/>
        <v>1245</v>
      </c>
      <c r="Q272" s="117">
        <f t="shared" si="575"/>
        <v>1600</v>
      </c>
      <c r="R272" s="117">
        <f t="shared" si="575"/>
        <v>1798</v>
      </c>
      <c r="S272" s="117">
        <f t="shared" si="575"/>
        <v>2340</v>
      </c>
      <c r="T272" s="117">
        <f t="shared" si="575"/>
        <v>2270</v>
      </c>
      <c r="U272" s="117">
        <f t="shared" si="575"/>
        <v>2680</v>
      </c>
      <c r="V272" s="117">
        <f t="shared" si="575"/>
        <v>3000</v>
      </c>
      <c r="W272" s="117">
        <f t="shared" si="575"/>
        <v>3600</v>
      </c>
      <c r="X272" s="117">
        <f t="shared" si="575"/>
        <v>3300</v>
      </c>
      <c r="Y272" s="117">
        <f t="shared" si="575"/>
        <v>3800</v>
      </c>
      <c r="Z272" s="117">
        <f t="shared" si="575"/>
        <v>4300</v>
      </c>
      <c r="AA272" s="117">
        <f t="shared" si="575"/>
        <v>5600</v>
      </c>
      <c r="AB272" s="117">
        <f t="shared" si="575"/>
        <v>5200</v>
      </c>
      <c r="AC272" s="117">
        <f t="shared" si="575"/>
        <v>6200</v>
      </c>
      <c r="AD272" s="117">
        <f t="shared" si="575"/>
        <v>6800</v>
      </c>
      <c r="AE272" s="117">
        <f t="shared" si="575"/>
        <v>8600</v>
      </c>
      <c r="AF272" s="117">
        <f t="shared" si="575"/>
        <v>7900</v>
      </c>
      <c r="AG272" s="117">
        <f t="shared" si="575"/>
        <v>9200</v>
      </c>
      <c r="AH272" s="117">
        <f t="shared" si="575"/>
        <v>10100</v>
      </c>
      <c r="AI272" s="117">
        <f t="shared" si="575"/>
        <v>12800</v>
      </c>
      <c r="AJ272" s="117">
        <f t="shared" si="575"/>
        <v>11800</v>
      </c>
      <c r="AK272" s="117">
        <f t="shared" si="575"/>
        <v>13000</v>
      </c>
      <c r="AL272" s="117">
        <f t="shared" si="575"/>
        <v>13500</v>
      </c>
      <c r="AM272" s="117">
        <f t="shared" si="575"/>
        <v>16600</v>
      </c>
      <c r="AN272" s="117">
        <f t="shared" si="575"/>
        <v>14900</v>
      </c>
      <c r="AO272" s="117">
        <f t="shared" si="575"/>
        <v>16600</v>
      </c>
      <c r="AP272" s="222">
        <f>+AP256</f>
        <v>17383</v>
      </c>
      <c r="AQ272" s="222">
        <f t="shared" ref="AQ272:BH272" si="576">+AQ256</f>
        <v>20736</v>
      </c>
      <c r="AR272" s="222">
        <f t="shared" si="576"/>
        <v>17440</v>
      </c>
      <c r="AS272" s="222">
        <f t="shared" si="576"/>
        <v>18321</v>
      </c>
      <c r="AT272" s="222">
        <f t="shared" si="576"/>
        <v>21221</v>
      </c>
      <c r="AU272" s="222">
        <f t="shared" si="576"/>
        <v>27187</v>
      </c>
      <c r="AV272" s="222">
        <f t="shared" si="576"/>
        <v>25439</v>
      </c>
      <c r="AW272" s="222">
        <f t="shared" si="576"/>
        <v>28580</v>
      </c>
      <c r="AX272" s="222">
        <f t="shared" si="576"/>
        <v>28276</v>
      </c>
      <c r="AY272" s="222">
        <f t="shared" si="576"/>
        <v>32639</v>
      </c>
      <c r="AZ272" s="222">
        <f t="shared" si="576"/>
        <v>26998</v>
      </c>
      <c r="BA272" s="222">
        <f t="shared" si="576"/>
        <v>28152</v>
      </c>
      <c r="BB272" s="222">
        <f t="shared" si="576"/>
        <v>27237</v>
      </c>
      <c r="BC272" s="222">
        <f t="shared" si="576"/>
        <v>31254</v>
      </c>
      <c r="BD272" s="222">
        <f t="shared" si="576"/>
        <v>28101</v>
      </c>
      <c r="BE272" s="222">
        <f t="shared" si="576"/>
        <v>31498</v>
      </c>
      <c r="BF272" s="222">
        <f t="shared" si="576"/>
        <v>33643</v>
      </c>
      <c r="BG272" s="222">
        <f t="shared" si="576"/>
        <v>38706</v>
      </c>
      <c r="BH272" s="222">
        <f t="shared" si="576"/>
        <v>35635</v>
      </c>
      <c r="BI272" s="222">
        <f>+BI256</f>
        <v>38329</v>
      </c>
      <c r="BJ272" s="222">
        <f>+BJ256</f>
        <v>39885</v>
      </c>
      <c r="BQ272" s="222">
        <f t="shared" ref="BQ272:BV272" si="577">+BQ256</f>
        <v>153</v>
      </c>
      <c r="BR272" s="222">
        <f t="shared" si="577"/>
        <v>272</v>
      </c>
      <c r="BS272" s="222">
        <f t="shared" si="577"/>
        <v>764</v>
      </c>
      <c r="BT272" s="222">
        <f t="shared" si="577"/>
        <v>1869</v>
      </c>
      <c r="BU272" s="222">
        <f t="shared" si="577"/>
        <v>3154</v>
      </c>
      <c r="BV272" s="222">
        <f t="shared" si="577"/>
        <v>4279</v>
      </c>
      <c r="BW272" s="118">
        <f>+SUM(P272:S272)</f>
        <v>6983</v>
      </c>
      <c r="BX272" s="118">
        <f>+SUM(T272:W272)</f>
        <v>11550</v>
      </c>
      <c r="BY272" s="118">
        <f>+SUM(X272:AA272)</f>
        <v>17000</v>
      </c>
      <c r="BZ272" s="118">
        <f>+SUM(AB272:AE272)</f>
        <v>26800</v>
      </c>
      <c r="CA272" s="118">
        <f>+SUM(AF272:AI272)</f>
        <v>40000</v>
      </c>
      <c r="CB272" s="118">
        <f>+SUM(AJ272:AM272)</f>
        <v>54900</v>
      </c>
      <c r="CC272" s="222">
        <f>+CC256</f>
        <v>69655</v>
      </c>
      <c r="CD272" s="222">
        <f>+CD256</f>
        <v>84169</v>
      </c>
      <c r="CE272" s="222">
        <f>+CE256</f>
        <v>114934</v>
      </c>
      <c r="CF272" s="222">
        <f>+CF256</f>
        <v>113641</v>
      </c>
      <c r="CG272" s="222">
        <f>+CG256</f>
        <v>131948</v>
      </c>
    </row>
    <row r="273" spans="2:87" x14ac:dyDescent="0.2">
      <c r="B273" s="66"/>
    </row>
    <row r="274" spans="2:87" x14ac:dyDescent="0.2">
      <c r="B274" s="62" t="s">
        <v>17</v>
      </c>
    </row>
    <row r="275" spans="2:87" x14ac:dyDescent="0.2">
      <c r="B275" s="60" t="s">
        <v>251</v>
      </c>
      <c r="H275" s="223" t="str">
        <f>+IFERROR(ROUND(H270/D270-1,2),"n/a")</f>
        <v>n/a</v>
      </c>
      <c r="I275" s="223" t="str">
        <f t="shared" ref="I275:Q275" si="578">+IFERROR(ROUND(I270/E270-1,2),"n/a")</f>
        <v>n/a</v>
      </c>
      <c r="J275" s="223" t="str">
        <f t="shared" si="578"/>
        <v>n/a</v>
      </c>
      <c r="K275" s="223" t="str">
        <f t="shared" si="578"/>
        <v>n/a</v>
      </c>
      <c r="L275" s="223" t="str">
        <f t="shared" si="578"/>
        <v>n/a</v>
      </c>
      <c r="M275" s="223" t="str">
        <f t="shared" si="578"/>
        <v>n/a</v>
      </c>
      <c r="N275" s="223" t="str">
        <f t="shared" si="578"/>
        <v>n/a</v>
      </c>
      <c r="O275" s="223" t="str">
        <f t="shared" si="578"/>
        <v>n/a</v>
      </c>
      <c r="P275" s="223" t="str">
        <f t="shared" si="578"/>
        <v>n/a</v>
      </c>
      <c r="Q275" s="223" t="str">
        <f t="shared" si="578"/>
        <v>n/a</v>
      </c>
      <c r="R275" s="120">
        <f t="shared" ref="R275:W276" si="579">+ROUND(R270/N270-1,2)</f>
        <v>4.79</v>
      </c>
      <c r="S275" s="120">
        <f t="shared" si="579"/>
        <v>3.09</v>
      </c>
      <c r="T275" s="120">
        <f t="shared" si="579"/>
        <v>2.4500000000000002</v>
      </c>
      <c r="U275" s="120">
        <f t="shared" si="579"/>
        <v>1.52</v>
      </c>
      <c r="V275" s="120">
        <f t="shared" si="579"/>
        <v>1.1599999999999999</v>
      </c>
      <c r="W275" s="120">
        <f t="shared" si="579"/>
        <v>1</v>
      </c>
      <c r="X275" s="119">
        <v>0.82</v>
      </c>
      <c r="Y275" s="119">
        <v>0.74</v>
      </c>
      <c r="Z275" s="119">
        <v>0.73</v>
      </c>
      <c r="AA275" s="119">
        <v>0.81</v>
      </c>
      <c r="AB275" s="119">
        <v>0.75</v>
      </c>
      <c r="AC275" s="119">
        <v>0.81</v>
      </c>
      <c r="AD275" s="119">
        <v>0.7</v>
      </c>
      <c r="AE275" s="119">
        <v>0.61</v>
      </c>
      <c r="AF275" s="119">
        <v>0.57999999999999996</v>
      </c>
      <c r="AG275" s="119">
        <v>0.53</v>
      </c>
      <c r="AH275" s="119">
        <v>0.56999999999999995</v>
      </c>
      <c r="AI275" s="119">
        <v>0.56999999999999995</v>
      </c>
      <c r="AJ275" s="119">
        <v>0.6</v>
      </c>
      <c r="AK275" s="119">
        <v>0.5</v>
      </c>
      <c r="AL275" s="119">
        <v>0.4</v>
      </c>
      <c r="AM275" s="119">
        <v>0.36</v>
      </c>
      <c r="AN275" s="119">
        <v>0.3</v>
      </c>
      <c r="AO275" s="119">
        <v>0.31</v>
      </c>
      <c r="AP275" s="223" t="str">
        <f>+IFERROR(ROUND(AP270/AL270-1,2),"n/a")</f>
        <v>n/a</v>
      </c>
      <c r="AQ275" s="223" t="str">
        <f t="shared" ref="AQ275:BJ275" si="580">+IFERROR(ROUND(AQ270/AM270-1,2),"n/a")</f>
        <v>n/a</v>
      </c>
      <c r="AR275" s="223" t="str">
        <f t="shared" si="580"/>
        <v>n/a</v>
      </c>
      <c r="AS275" s="223" t="str">
        <f t="shared" si="580"/>
        <v>n/a</v>
      </c>
      <c r="AT275" s="223" t="str">
        <f t="shared" si="580"/>
        <v>n/a</v>
      </c>
      <c r="AU275" s="223" t="str">
        <f t="shared" si="580"/>
        <v>n/a</v>
      </c>
      <c r="AV275" s="223" t="str">
        <f t="shared" si="580"/>
        <v>n/a</v>
      </c>
      <c r="AW275" s="223" t="str">
        <f t="shared" si="580"/>
        <v>n/a</v>
      </c>
      <c r="AX275" s="223" t="str">
        <f t="shared" si="580"/>
        <v>n/a</v>
      </c>
      <c r="AY275" s="223" t="str">
        <f t="shared" si="580"/>
        <v>n/a</v>
      </c>
      <c r="AZ275" s="223" t="str">
        <f t="shared" si="580"/>
        <v>n/a</v>
      </c>
      <c r="BA275" s="223" t="str">
        <f t="shared" si="580"/>
        <v>n/a</v>
      </c>
      <c r="BB275" s="223" t="str">
        <f t="shared" si="580"/>
        <v>n/a</v>
      </c>
      <c r="BC275" s="223" t="str">
        <f t="shared" si="580"/>
        <v>n/a</v>
      </c>
      <c r="BD275" s="223" t="str">
        <f t="shared" si="580"/>
        <v>n/a</v>
      </c>
      <c r="BE275" s="223" t="str">
        <f t="shared" si="580"/>
        <v>n/a</v>
      </c>
      <c r="BF275" s="223" t="str">
        <f t="shared" si="580"/>
        <v>n/a</v>
      </c>
      <c r="BG275" s="223" t="str">
        <f t="shared" si="580"/>
        <v>n/a</v>
      </c>
      <c r="BH275" s="223" t="str">
        <f t="shared" si="580"/>
        <v>n/a</v>
      </c>
      <c r="BI275" s="223" t="str">
        <f t="shared" si="580"/>
        <v>n/a</v>
      </c>
      <c r="BJ275" s="223" t="str">
        <f t="shared" si="580"/>
        <v>n/a</v>
      </c>
      <c r="BK275" s="119"/>
      <c r="BL275" s="119"/>
      <c r="BM275" s="119"/>
      <c r="BN275" s="119"/>
      <c r="BO275" s="119"/>
      <c r="BP275" s="106"/>
      <c r="BQ275" s="106"/>
      <c r="BR275" s="223" t="str">
        <f>+IFERROR(ROUND(BR270/BQ270-1,2),"n/a")</f>
        <v>n/a</v>
      </c>
      <c r="BS275" s="223" t="str">
        <f t="shared" ref="BS275:CG275" si="581">+IFERROR(ROUND(BS270/BR270-1,2),"n/a")</f>
        <v>n/a</v>
      </c>
      <c r="BT275" s="223" t="str">
        <f t="shared" si="581"/>
        <v>n/a</v>
      </c>
      <c r="BU275" s="223" t="str">
        <f t="shared" si="581"/>
        <v>n/a</v>
      </c>
      <c r="BV275" s="223" t="str">
        <f t="shared" si="581"/>
        <v>n/a</v>
      </c>
      <c r="BW275" s="223" t="str">
        <f t="shared" si="581"/>
        <v>n/a</v>
      </c>
      <c r="BX275" s="223">
        <f t="shared" si="581"/>
        <v>1.32</v>
      </c>
      <c r="BY275" s="223">
        <f t="shared" si="581"/>
        <v>0.79</v>
      </c>
      <c r="BZ275" s="223">
        <f t="shared" si="581"/>
        <v>0.69</v>
      </c>
      <c r="CA275" s="223">
        <f t="shared" si="581"/>
        <v>0.56999999999999995</v>
      </c>
      <c r="CB275" s="223">
        <f t="shared" si="581"/>
        <v>0.45</v>
      </c>
      <c r="CC275" s="223" t="str">
        <f t="shared" si="581"/>
        <v>n/a</v>
      </c>
      <c r="CD275" s="223" t="str">
        <f t="shared" si="581"/>
        <v>n/a</v>
      </c>
      <c r="CE275" s="223" t="str">
        <f t="shared" si="581"/>
        <v>n/a</v>
      </c>
      <c r="CF275" s="223" t="str">
        <f t="shared" si="581"/>
        <v>n/a</v>
      </c>
      <c r="CG275" s="223" t="str">
        <f t="shared" si="581"/>
        <v>n/a</v>
      </c>
    </row>
    <row r="276" spans="2:87" ht="13.5" x14ac:dyDescent="0.35">
      <c r="B276" s="60" t="s">
        <v>252</v>
      </c>
      <c r="H276" s="224" t="str">
        <f>+IFERROR(ROUND(H271/D271-1,2),"n/a")</f>
        <v>n/a</v>
      </c>
      <c r="I276" s="224" t="str">
        <f t="shared" ref="I276:Q276" si="582">+IFERROR(ROUND(I271/E271-1,2),"n/a")</f>
        <v>n/a</v>
      </c>
      <c r="J276" s="224" t="str">
        <f t="shared" si="582"/>
        <v>n/a</v>
      </c>
      <c r="K276" s="224" t="str">
        <f t="shared" si="582"/>
        <v>n/a</v>
      </c>
      <c r="L276" s="224" t="str">
        <f t="shared" si="582"/>
        <v>n/a</v>
      </c>
      <c r="M276" s="224" t="str">
        <f t="shared" si="582"/>
        <v>n/a</v>
      </c>
      <c r="N276" s="224" t="str">
        <f t="shared" si="582"/>
        <v>n/a</v>
      </c>
      <c r="O276" s="224" t="str">
        <f t="shared" si="582"/>
        <v>n/a</v>
      </c>
      <c r="P276" s="224" t="str">
        <f t="shared" si="582"/>
        <v>n/a</v>
      </c>
      <c r="Q276" s="224" t="str">
        <f t="shared" si="582"/>
        <v>n/a</v>
      </c>
      <c r="R276" s="121">
        <f t="shared" si="579"/>
        <v>-0.02</v>
      </c>
      <c r="S276" s="121">
        <f t="shared" si="579"/>
        <v>7.0000000000000007E-2</v>
      </c>
      <c r="T276" s="121">
        <f t="shared" si="579"/>
        <v>0.12</v>
      </c>
      <c r="U276" s="121">
        <f t="shared" si="579"/>
        <v>0.09</v>
      </c>
      <c r="V276" s="121">
        <f t="shared" si="579"/>
        <v>0.2</v>
      </c>
      <c r="W276" s="121">
        <f t="shared" si="579"/>
        <v>0.01</v>
      </c>
      <c r="X276" s="121">
        <f t="shared" ref="X276:AO276" si="583">+ROUND(X271/T271-1,2)</f>
        <v>-7.0000000000000007E-2</v>
      </c>
      <c r="Y276" s="121">
        <f t="shared" si="583"/>
        <v>-0.12</v>
      </c>
      <c r="Z276" s="121">
        <f t="shared" si="583"/>
        <v>-0.18</v>
      </c>
      <c r="AA276" s="121">
        <f t="shared" si="583"/>
        <v>0</v>
      </c>
      <c r="AB276" s="121">
        <f t="shared" si="583"/>
        <v>0.11</v>
      </c>
      <c r="AC276" s="121">
        <f t="shared" si="583"/>
        <v>0.11</v>
      </c>
      <c r="AD276" s="121">
        <f t="shared" si="583"/>
        <v>0.22</v>
      </c>
      <c r="AE276" s="121">
        <f t="shared" si="583"/>
        <v>0.27</v>
      </c>
      <c r="AF276" s="121">
        <f t="shared" si="583"/>
        <v>0.2</v>
      </c>
      <c r="AG276" s="121">
        <f t="shared" si="583"/>
        <v>0.2</v>
      </c>
      <c r="AH276" s="121">
        <f t="shared" si="583"/>
        <v>0.09</v>
      </c>
      <c r="AI276" s="121">
        <f t="shared" si="583"/>
        <v>0</v>
      </c>
      <c r="AJ276" s="121">
        <f t="shared" si="583"/>
        <v>-0.08</v>
      </c>
      <c r="AK276" s="121">
        <f t="shared" si="583"/>
        <v>-0.08</v>
      </c>
      <c r="AL276" s="121">
        <f t="shared" si="583"/>
        <v>-0.17</v>
      </c>
      <c r="AM276" s="121">
        <f t="shared" si="583"/>
        <v>-0.21</v>
      </c>
      <c r="AN276" s="121">
        <f t="shared" si="583"/>
        <v>-0.09</v>
      </c>
      <c r="AO276" s="121">
        <f t="shared" si="583"/>
        <v>-0.09</v>
      </c>
      <c r="AP276" s="224" t="str">
        <f>+IFERROR(ROUND(AP271/AL271-1,2),"n/a")</f>
        <v>n/a</v>
      </c>
      <c r="AQ276" s="224" t="str">
        <f t="shared" ref="AQ276:BJ276" si="584">+IFERROR(ROUND(AQ271/AM271-1,2),"n/a")</f>
        <v>n/a</v>
      </c>
      <c r="AR276" s="224" t="str">
        <f t="shared" si="584"/>
        <v>n/a</v>
      </c>
      <c r="AS276" s="224" t="str">
        <f t="shared" si="584"/>
        <v>n/a</v>
      </c>
      <c r="AT276" s="224" t="str">
        <f t="shared" si="584"/>
        <v>n/a</v>
      </c>
      <c r="AU276" s="224" t="str">
        <f t="shared" si="584"/>
        <v>n/a</v>
      </c>
      <c r="AV276" s="224" t="str">
        <f t="shared" si="584"/>
        <v>n/a</v>
      </c>
      <c r="AW276" s="224" t="str">
        <f t="shared" si="584"/>
        <v>n/a</v>
      </c>
      <c r="AX276" s="224" t="str">
        <f t="shared" si="584"/>
        <v>n/a</v>
      </c>
      <c r="AY276" s="224" t="str">
        <f t="shared" si="584"/>
        <v>n/a</v>
      </c>
      <c r="AZ276" s="224" t="str">
        <f t="shared" si="584"/>
        <v>n/a</v>
      </c>
      <c r="BA276" s="224" t="str">
        <f t="shared" si="584"/>
        <v>n/a</v>
      </c>
      <c r="BB276" s="224" t="str">
        <f t="shared" si="584"/>
        <v>n/a</v>
      </c>
      <c r="BC276" s="224" t="str">
        <f t="shared" si="584"/>
        <v>n/a</v>
      </c>
      <c r="BD276" s="224" t="str">
        <f t="shared" si="584"/>
        <v>n/a</v>
      </c>
      <c r="BE276" s="224" t="str">
        <f t="shared" si="584"/>
        <v>n/a</v>
      </c>
      <c r="BF276" s="224" t="str">
        <f t="shared" si="584"/>
        <v>n/a</v>
      </c>
      <c r="BG276" s="224" t="str">
        <f t="shared" si="584"/>
        <v>n/a</v>
      </c>
      <c r="BH276" s="224" t="str">
        <f t="shared" si="584"/>
        <v>n/a</v>
      </c>
      <c r="BI276" s="224" t="str">
        <f t="shared" si="584"/>
        <v>n/a</v>
      </c>
      <c r="BJ276" s="224" t="str">
        <f t="shared" si="584"/>
        <v>n/a</v>
      </c>
      <c r="BK276" s="121"/>
      <c r="BL276" s="121"/>
      <c r="BM276" s="121"/>
      <c r="BN276" s="121"/>
      <c r="BO276" s="121"/>
      <c r="BP276" s="122"/>
      <c r="BQ276" s="122"/>
      <c r="BR276" s="224" t="str">
        <f>+IFERROR(ROUND(BR271/BQ271-1,2),"n/a")</f>
        <v>n/a</v>
      </c>
      <c r="BS276" s="224" t="str">
        <f t="shared" ref="BS276:CG276" si="585">+IFERROR(ROUND(BS271/BR271-1,2),"n/a")</f>
        <v>n/a</v>
      </c>
      <c r="BT276" s="224" t="str">
        <f t="shared" si="585"/>
        <v>n/a</v>
      </c>
      <c r="BU276" s="224" t="str">
        <f t="shared" si="585"/>
        <v>n/a</v>
      </c>
      <c r="BV276" s="224" t="str">
        <f t="shared" si="585"/>
        <v>n/a</v>
      </c>
      <c r="BW276" s="224" t="str">
        <f t="shared" si="585"/>
        <v>n/a</v>
      </c>
      <c r="BX276" s="224">
        <f t="shared" si="585"/>
        <v>0.1</v>
      </c>
      <c r="BY276" s="224">
        <f t="shared" si="585"/>
        <v>-0.09</v>
      </c>
      <c r="BZ276" s="224">
        <f t="shared" si="585"/>
        <v>0.18</v>
      </c>
      <c r="CA276" s="224">
        <f t="shared" si="585"/>
        <v>0.11</v>
      </c>
      <c r="CB276" s="224">
        <f t="shared" si="585"/>
        <v>-0.14000000000000001</v>
      </c>
      <c r="CC276" s="224" t="str">
        <f t="shared" si="585"/>
        <v>n/a</v>
      </c>
      <c r="CD276" s="224" t="str">
        <f t="shared" si="585"/>
        <v>n/a</v>
      </c>
      <c r="CE276" s="224" t="str">
        <f t="shared" si="585"/>
        <v>n/a</v>
      </c>
      <c r="CF276" s="224" t="str">
        <f t="shared" si="585"/>
        <v>n/a</v>
      </c>
      <c r="CG276" s="224" t="str">
        <f t="shared" si="585"/>
        <v>n/a</v>
      </c>
    </row>
    <row r="277" spans="2:87" x14ac:dyDescent="0.2">
      <c r="B277" s="101" t="s">
        <v>249</v>
      </c>
      <c r="H277" s="223">
        <f>+IFERROR(H272/D272-1,"n/a")</f>
        <v>0.87352941176470589</v>
      </c>
      <c r="I277" s="223">
        <f t="shared" ref="I277:Q277" si="586">+IFERROR(I272/E272-1,"n/a")</f>
        <v>0.83018867924528306</v>
      </c>
      <c r="J277" s="223">
        <f t="shared" si="586"/>
        <v>0.77333333333333343</v>
      </c>
      <c r="K277" s="223">
        <f t="shared" si="586"/>
        <v>0.43969465648854955</v>
      </c>
      <c r="L277" s="223">
        <f t="shared" si="586"/>
        <v>0.36891679748822614</v>
      </c>
      <c r="M277" s="223">
        <f t="shared" si="586"/>
        <v>0.27835051546391743</v>
      </c>
      <c r="N277" s="223">
        <f t="shared" si="586"/>
        <v>0.36090225563909772</v>
      </c>
      <c r="O277" s="223">
        <f t="shared" si="586"/>
        <v>0.40933191940615066</v>
      </c>
      <c r="P277" s="223">
        <f t="shared" si="586"/>
        <v>0.42775229357798161</v>
      </c>
      <c r="Q277" s="223">
        <f t="shared" si="586"/>
        <v>0.61290322580645151</v>
      </c>
      <c r="R277" s="120">
        <f>+R272/N272-1</f>
        <v>0.65561694290976069</v>
      </c>
      <c r="S277" s="120">
        <f t="shared" ref="S277:AO277" si="587">+S272/O272-1</f>
        <v>0.76072234762979685</v>
      </c>
      <c r="T277" s="120">
        <f t="shared" si="587"/>
        <v>0.82329317269076308</v>
      </c>
      <c r="U277" s="120">
        <f t="shared" si="587"/>
        <v>0.67500000000000004</v>
      </c>
      <c r="V277" s="120">
        <f t="shared" si="587"/>
        <v>0.66852057842046708</v>
      </c>
      <c r="W277" s="120">
        <f t="shared" si="587"/>
        <v>0.53846153846153855</v>
      </c>
      <c r="X277" s="120">
        <f t="shared" si="587"/>
        <v>0.45374449339207046</v>
      </c>
      <c r="Y277" s="120">
        <f t="shared" si="587"/>
        <v>0.41791044776119413</v>
      </c>
      <c r="Z277" s="120">
        <f t="shared" si="587"/>
        <v>0.43333333333333335</v>
      </c>
      <c r="AA277" s="120">
        <f t="shared" si="587"/>
        <v>0.55555555555555558</v>
      </c>
      <c r="AB277" s="120">
        <f t="shared" si="587"/>
        <v>0.57575757575757569</v>
      </c>
      <c r="AC277" s="120">
        <f t="shared" si="587"/>
        <v>0.63157894736842102</v>
      </c>
      <c r="AD277" s="120">
        <f t="shared" si="587"/>
        <v>0.58139534883720922</v>
      </c>
      <c r="AE277" s="120">
        <f t="shared" si="587"/>
        <v>0.53571428571428581</v>
      </c>
      <c r="AF277" s="120">
        <f t="shared" si="587"/>
        <v>0.51923076923076916</v>
      </c>
      <c r="AG277" s="120">
        <f t="shared" si="587"/>
        <v>0.4838709677419355</v>
      </c>
      <c r="AH277" s="120">
        <f t="shared" si="587"/>
        <v>0.48529411764705888</v>
      </c>
      <c r="AI277" s="120">
        <f t="shared" si="587"/>
        <v>0.48837209302325579</v>
      </c>
      <c r="AJ277" s="120">
        <f t="shared" si="587"/>
        <v>0.49367088607594933</v>
      </c>
      <c r="AK277" s="120">
        <f t="shared" si="587"/>
        <v>0.41304347826086962</v>
      </c>
      <c r="AL277" s="120">
        <f t="shared" si="587"/>
        <v>0.33663366336633671</v>
      </c>
      <c r="AM277" s="120">
        <f t="shared" si="587"/>
        <v>0.296875</v>
      </c>
      <c r="AN277" s="120">
        <f t="shared" si="587"/>
        <v>0.26271186440677963</v>
      </c>
      <c r="AO277" s="120">
        <f t="shared" si="587"/>
        <v>0.27692307692307683</v>
      </c>
      <c r="AP277" s="223">
        <f>+IFERROR(AP272/AL272-1,"n/a")</f>
        <v>0.28762962962962968</v>
      </c>
      <c r="AQ277" s="223">
        <f t="shared" ref="AQ277:BJ277" si="588">+IFERROR(AQ272/AM272-1,"n/a")</f>
        <v>0.2491566265060241</v>
      </c>
      <c r="AR277" s="223">
        <f t="shared" si="588"/>
        <v>0.17046979865771816</v>
      </c>
      <c r="AS277" s="223">
        <f t="shared" si="588"/>
        <v>0.10367469879518065</v>
      </c>
      <c r="AT277" s="223">
        <f t="shared" si="588"/>
        <v>0.22079042742909749</v>
      </c>
      <c r="AU277" s="223">
        <f t="shared" si="588"/>
        <v>0.31110146604938271</v>
      </c>
      <c r="AV277" s="223">
        <f t="shared" si="588"/>
        <v>0.45865825688073403</v>
      </c>
      <c r="AW277" s="223">
        <f t="shared" si="588"/>
        <v>0.55995851754816872</v>
      </c>
      <c r="AX277" s="223">
        <f t="shared" si="588"/>
        <v>0.33245370152207721</v>
      </c>
      <c r="AY277" s="223">
        <f t="shared" si="588"/>
        <v>0.200537021370508</v>
      </c>
      <c r="AZ277" s="223">
        <f t="shared" si="588"/>
        <v>6.1283855497464623E-2</v>
      </c>
      <c r="BA277" s="223">
        <f t="shared" si="588"/>
        <v>-1.4975507347795625E-2</v>
      </c>
      <c r="BB277" s="223">
        <f t="shared" si="588"/>
        <v>-3.674494270759654E-2</v>
      </c>
      <c r="BC277" s="223">
        <f t="shared" si="588"/>
        <v>-4.2433898097368195E-2</v>
      </c>
      <c r="BD277" s="223">
        <f t="shared" si="588"/>
        <v>4.0854878139121364E-2</v>
      </c>
      <c r="BE277" s="223">
        <f t="shared" si="588"/>
        <v>0.11885478829212848</v>
      </c>
      <c r="BF277" s="223">
        <f t="shared" si="588"/>
        <v>0.23519477181774784</v>
      </c>
      <c r="BG277" s="223">
        <f t="shared" si="588"/>
        <v>0.23843348051449409</v>
      </c>
      <c r="BH277" s="223">
        <f t="shared" si="588"/>
        <v>0.26810433792391719</v>
      </c>
      <c r="BI277" s="223">
        <f t="shared" si="588"/>
        <v>0.21687091243888501</v>
      </c>
      <c r="BJ277" s="223">
        <f t="shared" si="588"/>
        <v>0.18553636714918409</v>
      </c>
      <c r="BR277" s="223">
        <f>+IFERROR(ROUND(BR272/BQ272-1,2),"n/a")</f>
        <v>0.78</v>
      </c>
      <c r="BS277" s="223">
        <f t="shared" ref="BS277:CG277" si="589">+IFERROR(ROUND(BS272/BR272-1,2),"n/a")</f>
        <v>1.81</v>
      </c>
      <c r="BT277" s="223">
        <f t="shared" si="589"/>
        <v>1.45</v>
      </c>
      <c r="BU277" s="223">
        <f t="shared" si="589"/>
        <v>0.69</v>
      </c>
      <c r="BV277" s="223">
        <f t="shared" si="589"/>
        <v>0.36</v>
      </c>
      <c r="BW277" s="223">
        <f t="shared" si="589"/>
        <v>0.63</v>
      </c>
      <c r="BX277" s="223">
        <f t="shared" si="589"/>
        <v>0.65</v>
      </c>
      <c r="BY277" s="223">
        <f t="shared" si="589"/>
        <v>0.47</v>
      </c>
      <c r="BZ277" s="223">
        <f t="shared" si="589"/>
        <v>0.57999999999999996</v>
      </c>
      <c r="CA277" s="223">
        <f t="shared" si="589"/>
        <v>0.49</v>
      </c>
      <c r="CB277" s="223">
        <f t="shared" si="589"/>
        <v>0.37</v>
      </c>
      <c r="CC277" s="223">
        <f t="shared" si="589"/>
        <v>0.27</v>
      </c>
      <c r="CD277" s="223">
        <f t="shared" si="589"/>
        <v>0.21</v>
      </c>
      <c r="CE277" s="223">
        <f t="shared" si="589"/>
        <v>0.37</v>
      </c>
      <c r="CF277" s="223">
        <f t="shared" si="589"/>
        <v>-0.01</v>
      </c>
      <c r="CG277" s="223">
        <f t="shared" si="589"/>
        <v>0.16</v>
      </c>
    </row>
    <row r="278" spans="2:87" x14ac:dyDescent="0.2">
      <c r="B278" s="101"/>
    </row>
    <row r="279" spans="2:87" x14ac:dyDescent="0.2">
      <c r="B279" s="62" t="s">
        <v>254</v>
      </c>
    </row>
    <row r="280" spans="2:87" x14ac:dyDescent="0.2">
      <c r="B280" s="60" t="s">
        <v>251</v>
      </c>
      <c r="D280" s="223" t="str">
        <f t="shared" ref="D280:M280" si="590">+IFERROR(ROUND(D270/D124,2),"n/a")</f>
        <v>n/a</v>
      </c>
      <c r="E280" s="223" t="str">
        <f t="shared" si="590"/>
        <v>n/a</v>
      </c>
      <c r="F280" s="223" t="str">
        <f t="shared" si="590"/>
        <v>n/a</v>
      </c>
      <c r="G280" s="223" t="str">
        <f t="shared" si="590"/>
        <v>n/a</v>
      </c>
      <c r="H280" s="223" t="str">
        <f t="shared" si="590"/>
        <v>n/a</v>
      </c>
      <c r="I280" s="223" t="str">
        <f t="shared" si="590"/>
        <v>n/a</v>
      </c>
      <c r="J280" s="223" t="str">
        <f t="shared" si="590"/>
        <v>n/a</v>
      </c>
      <c r="K280" s="223" t="str">
        <f t="shared" si="590"/>
        <v>n/a</v>
      </c>
      <c r="L280" s="223" t="str">
        <f t="shared" si="590"/>
        <v>n/a</v>
      </c>
      <c r="M280" s="223" t="str">
        <f t="shared" si="590"/>
        <v>n/a</v>
      </c>
      <c r="N280" s="119">
        <v>0.14000000000000001</v>
      </c>
      <c r="O280" s="119">
        <v>0.23</v>
      </c>
      <c r="P280" s="120">
        <f t="shared" ref="P280:U280" si="591">+ROUND(P270/P124,2)</f>
        <v>0.3</v>
      </c>
      <c r="Q280" s="120">
        <f t="shared" si="591"/>
        <v>0.41</v>
      </c>
      <c r="R280" s="120">
        <f t="shared" si="591"/>
        <v>0.49</v>
      </c>
      <c r="S280" s="120">
        <f t="shared" si="591"/>
        <v>0.53</v>
      </c>
      <c r="T280" s="120">
        <f t="shared" si="591"/>
        <v>0.56999999999999995</v>
      </c>
      <c r="U280" s="120">
        <f t="shared" si="591"/>
        <v>0.62</v>
      </c>
      <c r="V280" s="119">
        <v>0.66</v>
      </c>
      <c r="W280" s="119">
        <v>0.69</v>
      </c>
      <c r="X280" s="119">
        <v>0.73</v>
      </c>
      <c r="Y280" s="119">
        <v>0.76</v>
      </c>
      <c r="Z280" s="119">
        <v>0.78</v>
      </c>
      <c r="AA280" s="119">
        <v>0.8</v>
      </c>
      <c r="AB280" s="119">
        <v>0.82</v>
      </c>
      <c r="AC280" s="119">
        <v>0.84</v>
      </c>
      <c r="AD280" s="119">
        <v>0.84</v>
      </c>
      <c r="AE280" s="119">
        <v>0.84</v>
      </c>
      <c r="AF280" s="119">
        <v>0.85</v>
      </c>
      <c r="AG280" s="119">
        <v>0.87</v>
      </c>
      <c r="AH280" s="119">
        <v>0.88</v>
      </c>
      <c r="AI280" s="119">
        <v>0.89</v>
      </c>
      <c r="AJ280" s="119">
        <v>0.91</v>
      </c>
      <c r="AK280" s="119">
        <v>0.91</v>
      </c>
      <c r="AL280" s="119">
        <v>0.92</v>
      </c>
      <c r="AM280" s="119">
        <v>0.93</v>
      </c>
      <c r="AN280" s="119">
        <v>0.93</v>
      </c>
      <c r="AO280" s="119">
        <v>0.94</v>
      </c>
      <c r="AP280" s="223" t="str">
        <f t="shared" ref="AP280:BH280" si="592">+IFERROR(ROUND(AP270/AP124,2),"n/a")</f>
        <v>n/a</v>
      </c>
      <c r="AQ280" s="223" t="str">
        <f t="shared" si="592"/>
        <v>n/a</v>
      </c>
      <c r="AR280" s="223" t="str">
        <f t="shared" si="592"/>
        <v>n/a</v>
      </c>
      <c r="AS280" s="223" t="str">
        <f t="shared" si="592"/>
        <v>n/a</v>
      </c>
      <c r="AT280" s="223" t="str">
        <f t="shared" si="592"/>
        <v>n/a</v>
      </c>
      <c r="AU280" s="223" t="str">
        <f t="shared" si="592"/>
        <v>n/a</v>
      </c>
      <c r="AV280" s="223" t="str">
        <f t="shared" si="592"/>
        <v>n/a</v>
      </c>
      <c r="AW280" s="223" t="str">
        <f t="shared" si="592"/>
        <v>n/a</v>
      </c>
      <c r="AX280" s="223" t="str">
        <f t="shared" si="592"/>
        <v>n/a</v>
      </c>
      <c r="AY280" s="223" t="str">
        <f t="shared" si="592"/>
        <v>n/a</v>
      </c>
      <c r="AZ280" s="223" t="str">
        <f t="shared" si="592"/>
        <v>n/a</v>
      </c>
      <c r="BA280" s="223" t="str">
        <f t="shared" si="592"/>
        <v>n/a</v>
      </c>
      <c r="BB280" s="223" t="str">
        <f t="shared" si="592"/>
        <v>n/a</v>
      </c>
      <c r="BC280" s="223" t="str">
        <f t="shared" si="592"/>
        <v>n/a</v>
      </c>
      <c r="BD280" s="223" t="str">
        <f t="shared" si="592"/>
        <v>n/a</v>
      </c>
      <c r="BE280" s="223" t="str">
        <f t="shared" si="592"/>
        <v>n/a</v>
      </c>
      <c r="BF280" s="223" t="str">
        <f t="shared" si="592"/>
        <v>n/a</v>
      </c>
      <c r="BG280" s="223" t="str">
        <f t="shared" si="592"/>
        <v>n/a</v>
      </c>
      <c r="BH280" s="223" t="str">
        <f t="shared" si="592"/>
        <v>n/a</v>
      </c>
      <c r="BI280" s="223" t="str">
        <f>+IFERROR(ROUND(BI270/BI124,2),"n/a")</f>
        <v>n/a</v>
      </c>
      <c r="BJ280" s="223" t="str">
        <f>+IFERROR(ROUND(BJ270/BJ124,2),"n/a")</f>
        <v>n/a</v>
      </c>
      <c r="BK280" s="119"/>
      <c r="BL280" s="119"/>
      <c r="BM280" s="119"/>
      <c r="BN280" s="119"/>
      <c r="BO280" s="119"/>
      <c r="BP280" s="99"/>
      <c r="BQ280" s="223" t="str">
        <f t="shared" ref="BQ280:CG280" si="593">+IFERROR(ROUND(BQ270/BQ124,2),"n/a")</f>
        <v>n/a</v>
      </c>
      <c r="BR280" s="223" t="str">
        <f t="shared" si="593"/>
        <v>n/a</v>
      </c>
      <c r="BS280" s="223" t="str">
        <f t="shared" si="593"/>
        <v>n/a</v>
      </c>
      <c r="BT280" s="223" t="str">
        <f t="shared" si="593"/>
        <v>n/a</v>
      </c>
      <c r="BU280" s="223" t="str">
        <f t="shared" si="593"/>
        <v>n/a</v>
      </c>
      <c r="BV280" s="223" t="str">
        <f t="shared" si="593"/>
        <v>n/a</v>
      </c>
      <c r="BW280" s="223">
        <f t="shared" si="593"/>
        <v>0.45</v>
      </c>
      <c r="BX280" s="223">
        <f t="shared" si="593"/>
        <v>0.64</v>
      </c>
      <c r="BY280" s="223">
        <f t="shared" si="593"/>
        <v>0.77</v>
      </c>
      <c r="BZ280" s="223">
        <f t="shared" si="593"/>
        <v>0.83</v>
      </c>
      <c r="CA280" s="223">
        <f t="shared" si="593"/>
        <v>0.88</v>
      </c>
      <c r="CB280" s="223">
        <f t="shared" si="593"/>
        <v>0.92</v>
      </c>
      <c r="CC280" s="223" t="str">
        <f t="shared" si="593"/>
        <v>n/a</v>
      </c>
      <c r="CD280" s="223" t="str">
        <f t="shared" si="593"/>
        <v>n/a</v>
      </c>
      <c r="CE280" s="223" t="str">
        <f t="shared" si="593"/>
        <v>n/a</v>
      </c>
      <c r="CF280" s="223" t="str">
        <f t="shared" si="593"/>
        <v>n/a</v>
      </c>
      <c r="CG280" s="223" t="str">
        <f t="shared" si="593"/>
        <v>n/a</v>
      </c>
    </row>
    <row r="281" spans="2:87" ht="13.5" x14ac:dyDescent="0.35">
      <c r="B281" s="60" t="s">
        <v>252</v>
      </c>
      <c r="D281" s="224" t="str">
        <f>IFERROR(1-D280,"n/a")</f>
        <v>n/a</v>
      </c>
      <c r="E281" s="224" t="str">
        <f t="shared" ref="E281:L281" si="594">IFERROR(1-E280,"n/a")</f>
        <v>n/a</v>
      </c>
      <c r="F281" s="224" t="str">
        <f t="shared" si="594"/>
        <v>n/a</v>
      </c>
      <c r="G281" s="224" t="str">
        <f t="shared" si="594"/>
        <v>n/a</v>
      </c>
      <c r="H281" s="224" t="str">
        <f t="shared" si="594"/>
        <v>n/a</v>
      </c>
      <c r="I281" s="224" t="str">
        <f t="shared" si="594"/>
        <v>n/a</v>
      </c>
      <c r="J281" s="224" t="str">
        <f t="shared" si="594"/>
        <v>n/a</v>
      </c>
      <c r="K281" s="224" t="str">
        <f t="shared" si="594"/>
        <v>n/a</v>
      </c>
      <c r="L281" s="224" t="str">
        <f t="shared" si="594"/>
        <v>n/a</v>
      </c>
      <c r="M281" s="224" t="str">
        <f>IFERROR(1-M280,"n/a")</f>
        <v>n/a</v>
      </c>
      <c r="N281" s="121">
        <f t="shared" ref="N281:AO281" si="595">1-N280</f>
        <v>0.86</v>
      </c>
      <c r="O281" s="121">
        <f t="shared" si="595"/>
        <v>0.77</v>
      </c>
      <c r="P281" s="121">
        <f t="shared" si="595"/>
        <v>0.7</v>
      </c>
      <c r="Q281" s="121">
        <f t="shared" si="595"/>
        <v>0.59000000000000008</v>
      </c>
      <c r="R281" s="121">
        <f t="shared" si="595"/>
        <v>0.51</v>
      </c>
      <c r="S281" s="121">
        <f t="shared" si="595"/>
        <v>0.47</v>
      </c>
      <c r="T281" s="121">
        <f t="shared" si="595"/>
        <v>0.43000000000000005</v>
      </c>
      <c r="U281" s="121">
        <f t="shared" si="595"/>
        <v>0.38</v>
      </c>
      <c r="V281" s="121">
        <f t="shared" si="595"/>
        <v>0.33999999999999997</v>
      </c>
      <c r="W281" s="121">
        <f t="shared" si="595"/>
        <v>0.31000000000000005</v>
      </c>
      <c r="X281" s="121">
        <f t="shared" si="595"/>
        <v>0.27</v>
      </c>
      <c r="Y281" s="121">
        <f t="shared" si="595"/>
        <v>0.24</v>
      </c>
      <c r="Z281" s="121">
        <f t="shared" si="595"/>
        <v>0.21999999999999997</v>
      </c>
      <c r="AA281" s="121">
        <f t="shared" si="595"/>
        <v>0.19999999999999996</v>
      </c>
      <c r="AB281" s="121">
        <f t="shared" si="595"/>
        <v>0.18000000000000005</v>
      </c>
      <c r="AC281" s="121">
        <f t="shared" si="595"/>
        <v>0.16000000000000003</v>
      </c>
      <c r="AD281" s="121">
        <f t="shared" si="595"/>
        <v>0.16000000000000003</v>
      </c>
      <c r="AE281" s="121">
        <f t="shared" si="595"/>
        <v>0.16000000000000003</v>
      </c>
      <c r="AF281" s="121">
        <f t="shared" si="595"/>
        <v>0.15000000000000002</v>
      </c>
      <c r="AG281" s="121">
        <f t="shared" si="595"/>
        <v>0.13</v>
      </c>
      <c r="AH281" s="121">
        <f t="shared" si="595"/>
        <v>0.12</v>
      </c>
      <c r="AI281" s="121">
        <f t="shared" si="595"/>
        <v>0.10999999999999999</v>
      </c>
      <c r="AJ281" s="121">
        <f t="shared" si="595"/>
        <v>8.9999999999999969E-2</v>
      </c>
      <c r="AK281" s="121">
        <f t="shared" si="595"/>
        <v>8.9999999999999969E-2</v>
      </c>
      <c r="AL281" s="121">
        <f t="shared" si="595"/>
        <v>7.999999999999996E-2</v>
      </c>
      <c r="AM281" s="121">
        <f t="shared" si="595"/>
        <v>6.9999999999999951E-2</v>
      </c>
      <c r="AN281" s="121">
        <f t="shared" si="595"/>
        <v>6.9999999999999951E-2</v>
      </c>
      <c r="AO281" s="121">
        <f t="shared" si="595"/>
        <v>6.0000000000000053E-2</v>
      </c>
      <c r="AP281" s="224" t="str">
        <f>IFERROR(1-AP280,"n/a")</f>
        <v>n/a</v>
      </c>
      <c r="AQ281" s="224" t="str">
        <f t="shared" ref="AQ281:BH281" si="596">IFERROR(1-AQ280,"n/a")</f>
        <v>n/a</v>
      </c>
      <c r="AR281" s="224" t="str">
        <f t="shared" si="596"/>
        <v>n/a</v>
      </c>
      <c r="AS281" s="224" t="str">
        <f t="shared" si="596"/>
        <v>n/a</v>
      </c>
      <c r="AT281" s="224" t="str">
        <f t="shared" si="596"/>
        <v>n/a</v>
      </c>
      <c r="AU281" s="224" t="str">
        <f t="shared" si="596"/>
        <v>n/a</v>
      </c>
      <c r="AV281" s="224" t="str">
        <f t="shared" si="596"/>
        <v>n/a</v>
      </c>
      <c r="AW281" s="224" t="str">
        <f t="shared" si="596"/>
        <v>n/a</v>
      </c>
      <c r="AX281" s="224" t="str">
        <f t="shared" si="596"/>
        <v>n/a</v>
      </c>
      <c r="AY281" s="224" t="str">
        <f t="shared" si="596"/>
        <v>n/a</v>
      </c>
      <c r="AZ281" s="224" t="str">
        <f t="shared" si="596"/>
        <v>n/a</v>
      </c>
      <c r="BA281" s="224" t="str">
        <f t="shared" si="596"/>
        <v>n/a</v>
      </c>
      <c r="BB281" s="224" t="str">
        <f t="shared" si="596"/>
        <v>n/a</v>
      </c>
      <c r="BC281" s="224" t="str">
        <f t="shared" si="596"/>
        <v>n/a</v>
      </c>
      <c r="BD281" s="224" t="str">
        <f t="shared" si="596"/>
        <v>n/a</v>
      </c>
      <c r="BE281" s="224" t="str">
        <f t="shared" si="596"/>
        <v>n/a</v>
      </c>
      <c r="BF281" s="224" t="str">
        <f t="shared" si="596"/>
        <v>n/a</v>
      </c>
      <c r="BG281" s="224" t="str">
        <f t="shared" si="596"/>
        <v>n/a</v>
      </c>
      <c r="BH281" s="224" t="str">
        <f t="shared" si="596"/>
        <v>n/a</v>
      </c>
      <c r="BI281" s="224" t="str">
        <f>IFERROR(1-BI280,"n/a")</f>
        <v>n/a</v>
      </c>
      <c r="BJ281" s="224" t="str">
        <f>IFERROR(1-BJ280,"n/a")</f>
        <v>n/a</v>
      </c>
      <c r="BK281" s="121"/>
      <c r="BL281" s="121"/>
      <c r="BM281" s="121"/>
      <c r="BN281" s="121"/>
      <c r="BO281" s="121"/>
      <c r="BP281" s="122"/>
      <c r="BQ281" s="224" t="str">
        <f>IFERROR(1-BQ280,"n/a")</f>
        <v>n/a</v>
      </c>
      <c r="BR281" s="224" t="str">
        <f t="shared" ref="BR281:CG281" si="597">IFERROR(1-BR280,"n/a")</f>
        <v>n/a</v>
      </c>
      <c r="BS281" s="224" t="str">
        <f t="shared" si="597"/>
        <v>n/a</v>
      </c>
      <c r="BT281" s="224" t="str">
        <f t="shared" si="597"/>
        <v>n/a</v>
      </c>
      <c r="BU281" s="224" t="str">
        <f t="shared" si="597"/>
        <v>n/a</v>
      </c>
      <c r="BV281" s="224" t="str">
        <f t="shared" si="597"/>
        <v>n/a</v>
      </c>
      <c r="BW281" s="224">
        <f t="shared" si="597"/>
        <v>0.55000000000000004</v>
      </c>
      <c r="BX281" s="224">
        <f t="shared" si="597"/>
        <v>0.36</v>
      </c>
      <c r="BY281" s="224">
        <f t="shared" si="597"/>
        <v>0.22999999999999998</v>
      </c>
      <c r="BZ281" s="224">
        <f t="shared" si="597"/>
        <v>0.17000000000000004</v>
      </c>
      <c r="CA281" s="224">
        <f t="shared" si="597"/>
        <v>0.12</v>
      </c>
      <c r="CB281" s="224">
        <f t="shared" si="597"/>
        <v>7.999999999999996E-2</v>
      </c>
      <c r="CC281" s="224" t="str">
        <f t="shared" si="597"/>
        <v>n/a</v>
      </c>
      <c r="CD281" s="224" t="str">
        <f t="shared" si="597"/>
        <v>n/a</v>
      </c>
      <c r="CE281" s="224" t="str">
        <f t="shared" si="597"/>
        <v>n/a</v>
      </c>
      <c r="CF281" s="224" t="str">
        <f t="shared" si="597"/>
        <v>n/a</v>
      </c>
      <c r="CG281" s="224" t="str">
        <f t="shared" si="597"/>
        <v>n/a</v>
      </c>
    </row>
    <row r="282" spans="2:87" x14ac:dyDescent="0.2">
      <c r="B282" s="101" t="s">
        <v>249</v>
      </c>
      <c r="D282" s="164" t="str">
        <f>+IFERROR(D280+D281,"n/a")</f>
        <v>n/a</v>
      </c>
      <c r="E282" s="164" t="str">
        <f t="shared" ref="E282:L282" si="598">+IFERROR(E280+E281,"n/a")</f>
        <v>n/a</v>
      </c>
      <c r="F282" s="164" t="str">
        <f t="shared" si="598"/>
        <v>n/a</v>
      </c>
      <c r="G282" s="164" t="str">
        <f t="shared" si="598"/>
        <v>n/a</v>
      </c>
      <c r="H282" s="164" t="str">
        <f t="shared" si="598"/>
        <v>n/a</v>
      </c>
      <c r="I282" s="164" t="str">
        <f t="shared" si="598"/>
        <v>n/a</v>
      </c>
      <c r="J282" s="164" t="str">
        <f t="shared" si="598"/>
        <v>n/a</v>
      </c>
      <c r="K282" s="164" t="str">
        <f t="shared" si="598"/>
        <v>n/a</v>
      </c>
      <c r="L282" s="164" t="str">
        <f t="shared" si="598"/>
        <v>n/a</v>
      </c>
      <c r="M282" s="164" t="str">
        <f>+IFERROR(M280+M281,"n/a")</f>
        <v>n/a</v>
      </c>
      <c r="N282" s="106">
        <f>SUM(N280:N281)</f>
        <v>1</v>
      </c>
      <c r="O282" s="106">
        <f t="shared" ref="O282:AO282" si="599">SUM(O280:O281)</f>
        <v>1</v>
      </c>
      <c r="P282" s="106">
        <f t="shared" si="599"/>
        <v>1</v>
      </c>
      <c r="Q282" s="106">
        <f t="shared" si="599"/>
        <v>1</v>
      </c>
      <c r="R282" s="106">
        <f t="shared" si="599"/>
        <v>1</v>
      </c>
      <c r="S282" s="106">
        <f t="shared" si="599"/>
        <v>1</v>
      </c>
      <c r="T282" s="106">
        <f t="shared" si="599"/>
        <v>1</v>
      </c>
      <c r="U282" s="106">
        <f t="shared" si="599"/>
        <v>1</v>
      </c>
      <c r="V282" s="106">
        <f t="shared" si="599"/>
        <v>1</v>
      </c>
      <c r="W282" s="106">
        <f t="shared" si="599"/>
        <v>1</v>
      </c>
      <c r="X282" s="106">
        <f t="shared" si="599"/>
        <v>1</v>
      </c>
      <c r="Y282" s="106">
        <f t="shared" si="599"/>
        <v>1</v>
      </c>
      <c r="Z282" s="106">
        <f t="shared" si="599"/>
        <v>1</v>
      </c>
      <c r="AA282" s="106">
        <f t="shared" si="599"/>
        <v>1</v>
      </c>
      <c r="AB282" s="106">
        <f t="shared" si="599"/>
        <v>1</v>
      </c>
      <c r="AC282" s="106">
        <f t="shared" si="599"/>
        <v>1</v>
      </c>
      <c r="AD282" s="106">
        <f t="shared" si="599"/>
        <v>1</v>
      </c>
      <c r="AE282" s="106">
        <f t="shared" si="599"/>
        <v>1</v>
      </c>
      <c r="AF282" s="106">
        <f t="shared" si="599"/>
        <v>1</v>
      </c>
      <c r="AG282" s="106">
        <f t="shared" si="599"/>
        <v>1</v>
      </c>
      <c r="AH282" s="106">
        <f t="shared" si="599"/>
        <v>1</v>
      </c>
      <c r="AI282" s="106">
        <f t="shared" si="599"/>
        <v>1</v>
      </c>
      <c r="AJ282" s="106">
        <f t="shared" si="599"/>
        <v>1</v>
      </c>
      <c r="AK282" s="106">
        <f t="shared" si="599"/>
        <v>1</v>
      </c>
      <c r="AL282" s="106">
        <f t="shared" si="599"/>
        <v>1</v>
      </c>
      <c r="AM282" s="106">
        <f t="shared" si="599"/>
        <v>1</v>
      </c>
      <c r="AN282" s="106">
        <f t="shared" si="599"/>
        <v>1</v>
      </c>
      <c r="AO282" s="106">
        <f t="shared" si="599"/>
        <v>1</v>
      </c>
      <c r="AP282" s="164" t="str">
        <f>+IFERROR(AP280+AP281,"n/a")</f>
        <v>n/a</v>
      </c>
      <c r="AQ282" s="164" t="str">
        <f t="shared" ref="AQ282:BH282" si="600">+IFERROR(AQ280+AQ281,"n/a")</f>
        <v>n/a</v>
      </c>
      <c r="AR282" s="164" t="str">
        <f t="shared" si="600"/>
        <v>n/a</v>
      </c>
      <c r="AS282" s="164" t="str">
        <f t="shared" si="600"/>
        <v>n/a</v>
      </c>
      <c r="AT282" s="164" t="str">
        <f t="shared" si="600"/>
        <v>n/a</v>
      </c>
      <c r="AU282" s="164" t="str">
        <f t="shared" si="600"/>
        <v>n/a</v>
      </c>
      <c r="AV282" s="164" t="str">
        <f t="shared" si="600"/>
        <v>n/a</v>
      </c>
      <c r="AW282" s="164" t="str">
        <f t="shared" si="600"/>
        <v>n/a</v>
      </c>
      <c r="AX282" s="164" t="str">
        <f t="shared" si="600"/>
        <v>n/a</v>
      </c>
      <c r="AY282" s="164" t="str">
        <f t="shared" si="600"/>
        <v>n/a</v>
      </c>
      <c r="AZ282" s="164" t="str">
        <f t="shared" si="600"/>
        <v>n/a</v>
      </c>
      <c r="BA282" s="164" t="str">
        <f t="shared" si="600"/>
        <v>n/a</v>
      </c>
      <c r="BB282" s="164" t="str">
        <f t="shared" si="600"/>
        <v>n/a</v>
      </c>
      <c r="BC282" s="164" t="str">
        <f t="shared" si="600"/>
        <v>n/a</v>
      </c>
      <c r="BD282" s="164" t="str">
        <f t="shared" si="600"/>
        <v>n/a</v>
      </c>
      <c r="BE282" s="164" t="str">
        <f t="shared" si="600"/>
        <v>n/a</v>
      </c>
      <c r="BF282" s="164" t="str">
        <f t="shared" si="600"/>
        <v>n/a</v>
      </c>
      <c r="BG282" s="164" t="str">
        <f t="shared" si="600"/>
        <v>n/a</v>
      </c>
      <c r="BH282" s="164" t="str">
        <f t="shared" si="600"/>
        <v>n/a</v>
      </c>
      <c r="BI282" s="164" t="str">
        <f>+IFERROR(BI280+BI281,"n/a")</f>
        <v>n/a</v>
      </c>
      <c r="BJ282" s="164" t="str">
        <f>+IFERROR(BJ280+BJ281,"n/a")</f>
        <v>n/a</v>
      </c>
      <c r="BQ282" s="164" t="str">
        <f>+IFERROR(BQ280+BQ281,"n/a")</f>
        <v>n/a</v>
      </c>
      <c r="BR282" s="164" t="str">
        <f t="shared" ref="BR282:CG282" si="601">+IFERROR(BR280+BR281,"n/a")</f>
        <v>n/a</v>
      </c>
      <c r="BS282" s="164" t="str">
        <f t="shared" si="601"/>
        <v>n/a</v>
      </c>
      <c r="BT282" s="164" t="str">
        <f t="shared" si="601"/>
        <v>n/a</v>
      </c>
      <c r="BU282" s="164" t="str">
        <f t="shared" si="601"/>
        <v>n/a</v>
      </c>
      <c r="BV282" s="164" t="str">
        <f t="shared" si="601"/>
        <v>n/a</v>
      </c>
      <c r="BW282" s="164">
        <f t="shared" si="601"/>
        <v>1</v>
      </c>
      <c r="BX282" s="164">
        <f t="shared" si="601"/>
        <v>1</v>
      </c>
      <c r="BY282" s="164">
        <f t="shared" si="601"/>
        <v>1</v>
      </c>
      <c r="BZ282" s="164">
        <f t="shared" si="601"/>
        <v>1</v>
      </c>
      <c r="CA282" s="164">
        <f t="shared" si="601"/>
        <v>1</v>
      </c>
      <c r="CB282" s="164">
        <f t="shared" si="601"/>
        <v>1</v>
      </c>
      <c r="CC282" s="164" t="str">
        <f t="shared" si="601"/>
        <v>n/a</v>
      </c>
      <c r="CD282" s="164" t="str">
        <f t="shared" si="601"/>
        <v>n/a</v>
      </c>
      <c r="CE282" s="164" t="str">
        <f t="shared" si="601"/>
        <v>n/a</v>
      </c>
      <c r="CF282" s="164" t="str">
        <f t="shared" si="601"/>
        <v>n/a</v>
      </c>
      <c r="CG282" s="164" t="str">
        <f t="shared" si="601"/>
        <v>n/a</v>
      </c>
    </row>
    <row r="283" spans="2:87" x14ac:dyDescent="0.2">
      <c r="B283" s="101"/>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BW283" s="106"/>
      <c r="BX283" s="106"/>
      <c r="BY283" s="106"/>
      <c r="BZ283" s="106"/>
      <c r="CA283" s="106"/>
      <c r="CB283" s="106"/>
    </row>
    <row r="284" spans="2:87" x14ac:dyDescent="0.2">
      <c r="B284" s="52" t="s">
        <v>265</v>
      </c>
      <c r="C284" s="53"/>
    </row>
    <row r="286" spans="2:87" x14ac:dyDescent="0.2">
      <c r="B286" s="54" t="s">
        <v>258</v>
      </c>
    </row>
    <row r="287" spans="2:87" x14ac:dyDescent="0.2">
      <c r="B287" t="s">
        <v>214</v>
      </c>
      <c r="D287" s="81">
        <v>82</v>
      </c>
      <c r="E287" s="81">
        <v>85</v>
      </c>
      <c r="F287" s="81">
        <v>92</v>
      </c>
      <c r="G287" s="81">
        <v>99</v>
      </c>
      <c r="H287" s="81">
        <v>105</v>
      </c>
      <c r="I287" s="81">
        <v>117</v>
      </c>
      <c r="J287" s="81">
        <v>124</v>
      </c>
      <c r="K287" s="81">
        <v>126</v>
      </c>
      <c r="L287" s="81">
        <v>129</v>
      </c>
      <c r="M287" s="81">
        <v>130</v>
      </c>
      <c r="N287" s="81">
        <v>132</v>
      </c>
      <c r="O287" s="81">
        <v>135</v>
      </c>
      <c r="P287" s="81">
        <v>139</v>
      </c>
      <c r="Q287" s="81">
        <v>142</v>
      </c>
      <c r="R287" s="81">
        <v>144</v>
      </c>
      <c r="S287" s="81">
        <v>147</v>
      </c>
      <c r="T287" s="81">
        <v>150</v>
      </c>
      <c r="U287" s="81">
        <v>152</v>
      </c>
      <c r="V287" s="81">
        <v>155</v>
      </c>
      <c r="W287" s="81">
        <v>157</v>
      </c>
      <c r="X287" s="81">
        <v>161</v>
      </c>
      <c r="Y287" s="81">
        <v>164</v>
      </c>
      <c r="Z287" s="81">
        <v>167</v>
      </c>
      <c r="AA287" s="81">
        <v>169</v>
      </c>
      <c r="AB287" s="81">
        <v>172.75</v>
      </c>
      <c r="AC287" s="81">
        <v>175</v>
      </c>
      <c r="AD287" s="81">
        <v>178</v>
      </c>
      <c r="AE287" s="81">
        <v>180</v>
      </c>
      <c r="AF287" s="81">
        <v>182</v>
      </c>
      <c r="AG287" s="81">
        <v>183</v>
      </c>
      <c r="AH287" s="81">
        <v>185</v>
      </c>
      <c r="AI287" s="81">
        <v>184</v>
      </c>
      <c r="AJ287" s="81">
        <v>185</v>
      </c>
      <c r="AK287" s="81">
        <v>185</v>
      </c>
      <c r="AL287" s="81">
        <v>185</v>
      </c>
      <c r="AM287" s="81">
        <v>186</v>
      </c>
      <c r="AN287" s="81">
        <v>186</v>
      </c>
      <c r="AO287" s="81">
        <v>187</v>
      </c>
      <c r="AP287" s="81">
        <v>189</v>
      </c>
      <c r="AQ287" s="81">
        <v>190</v>
      </c>
      <c r="AR287" s="81">
        <v>195</v>
      </c>
      <c r="AS287" s="81">
        <v>198</v>
      </c>
      <c r="AT287" s="81">
        <v>196</v>
      </c>
      <c r="AU287" s="81">
        <v>195</v>
      </c>
      <c r="AV287" s="81">
        <v>195</v>
      </c>
      <c r="AW287" s="81">
        <v>195</v>
      </c>
      <c r="AX287" s="81">
        <v>196</v>
      </c>
      <c r="AY287" s="81">
        <v>195</v>
      </c>
      <c r="AZ287" s="81">
        <v>196</v>
      </c>
      <c r="BA287" s="81">
        <v>197</v>
      </c>
      <c r="BB287" s="81">
        <v>197</v>
      </c>
      <c r="BC287" s="81">
        <v>199</v>
      </c>
      <c r="BD287" s="81">
        <v>200</v>
      </c>
      <c r="BE287" s="81">
        <v>202</v>
      </c>
      <c r="BF287" s="81">
        <v>203</v>
      </c>
      <c r="BG287" s="81">
        <v>205</v>
      </c>
      <c r="BH287" s="83" t="s">
        <v>127</v>
      </c>
      <c r="BI287" s="83" t="s">
        <v>127</v>
      </c>
      <c r="BJ287" s="83" t="s">
        <v>127</v>
      </c>
      <c r="BK287" s="81"/>
      <c r="BL287" s="81"/>
      <c r="BM287" s="81"/>
      <c r="BN287" s="81"/>
      <c r="BO287" s="81"/>
      <c r="BS287" s="81">
        <v>64</v>
      </c>
      <c r="BT287" s="80">
        <f>+G287</f>
        <v>99</v>
      </c>
      <c r="BU287" s="64">
        <f>+K287</f>
        <v>126</v>
      </c>
      <c r="BV287" s="64">
        <f>+O287</f>
        <v>135</v>
      </c>
      <c r="BW287" s="64">
        <f>+R287</f>
        <v>144</v>
      </c>
      <c r="BX287" s="64">
        <f>+W287</f>
        <v>157</v>
      </c>
      <c r="BY287" s="64">
        <f>+AA287</f>
        <v>169</v>
      </c>
      <c r="BZ287" s="64">
        <f>+AE287</f>
        <v>180</v>
      </c>
      <c r="CA287" s="64">
        <f>+AI287</f>
        <v>184</v>
      </c>
      <c r="CB287" s="64">
        <f>+AM287</f>
        <v>186</v>
      </c>
      <c r="CC287" s="64">
        <f>+AQ287</f>
        <v>190</v>
      </c>
      <c r="CD287" s="64">
        <f>+AU287</f>
        <v>195</v>
      </c>
      <c r="CE287" s="64">
        <f>+AY287</f>
        <v>195</v>
      </c>
      <c r="CF287" s="64">
        <f>+BC287</f>
        <v>199</v>
      </c>
      <c r="CG287" s="64">
        <f>+BG287</f>
        <v>205</v>
      </c>
      <c r="CH287" s="64"/>
      <c r="CI287" s="64"/>
    </row>
    <row r="288" spans="2:87" x14ac:dyDescent="0.2">
      <c r="B288" t="s">
        <v>215</v>
      </c>
      <c r="D288" s="81">
        <v>79</v>
      </c>
      <c r="E288" s="81">
        <v>85</v>
      </c>
      <c r="F288" s="81">
        <v>94</v>
      </c>
      <c r="G288" s="81">
        <v>107</v>
      </c>
      <c r="H288" s="81">
        <v>120</v>
      </c>
      <c r="I288" s="81">
        <v>127</v>
      </c>
      <c r="J288" s="81">
        <v>135</v>
      </c>
      <c r="K288" s="81">
        <v>143</v>
      </c>
      <c r="L288" s="81">
        <v>152</v>
      </c>
      <c r="M288" s="81">
        <v>154</v>
      </c>
      <c r="N288" s="81">
        <v>160</v>
      </c>
      <c r="O288" s="81">
        <v>169</v>
      </c>
      <c r="P288" s="81">
        <v>179</v>
      </c>
      <c r="Q288" s="81">
        <v>182</v>
      </c>
      <c r="R288" s="81">
        <v>188</v>
      </c>
      <c r="S288" s="81">
        <v>195</v>
      </c>
      <c r="T288" s="81">
        <v>203</v>
      </c>
      <c r="U288" s="81">
        <v>206</v>
      </c>
      <c r="V288" s="81">
        <v>212</v>
      </c>
      <c r="W288" s="81">
        <v>217</v>
      </c>
      <c r="X288" s="81">
        <v>225</v>
      </c>
      <c r="Y288" s="81">
        <v>228</v>
      </c>
      <c r="Z288" s="81">
        <v>233</v>
      </c>
      <c r="AA288" s="81">
        <v>240</v>
      </c>
      <c r="AB288" s="81">
        <v>248.75</v>
      </c>
      <c r="AC288" s="81">
        <v>252</v>
      </c>
      <c r="AD288" s="81">
        <v>256</v>
      </c>
      <c r="AE288" s="81">
        <v>262</v>
      </c>
      <c r="AF288" s="81">
        <v>267</v>
      </c>
      <c r="AG288" s="81">
        <v>271</v>
      </c>
      <c r="AH288" s="81">
        <v>274</v>
      </c>
      <c r="AI288" s="81">
        <v>277</v>
      </c>
      <c r="AJ288" s="81">
        <v>282</v>
      </c>
      <c r="AK288" s="81">
        <v>279</v>
      </c>
      <c r="AL288" s="81">
        <v>278</v>
      </c>
      <c r="AM288" s="81">
        <v>282</v>
      </c>
      <c r="AN288" s="81">
        <v>286</v>
      </c>
      <c r="AO288" s="81">
        <v>286</v>
      </c>
      <c r="AP288" s="81">
        <v>288</v>
      </c>
      <c r="AQ288" s="81">
        <v>294</v>
      </c>
      <c r="AR288" s="81">
        <v>305</v>
      </c>
      <c r="AS288" s="81">
        <v>305</v>
      </c>
      <c r="AT288" s="81">
        <v>305</v>
      </c>
      <c r="AU288" s="81">
        <v>308</v>
      </c>
      <c r="AV288" s="81">
        <v>309</v>
      </c>
      <c r="AW288" s="81">
        <v>307</v>
      </c>
      <c r="AX288" s="81">
        <v>308</v>
      </c>
      <c r="AY288" s="81">
        <v>309</v>
      </c>
      <c r="AZ288" s="81">
        <v>307</v>
      </c>
      <c r="BA288" s="81">
        <v>303</v>
      </c>
      <c r="BB288" s="81">
        <v>303</v>
      </c>
      <c r="BC288" s="81">
        <v>304</v>
      </c>
      <c r="BD288" s="81">
        <v>307</v>
      </c>
      <c r="BE288" s="81">
        <v>307</v>
      </c>
      <c r="BF288" s="81">
        <v>307</v>
      </c>
      <c r="BG288" s="81">
        <v>308</v>
      </c>
      <c r="BH288" s="83" t="s">
        <v>127</v>
      </c>
      <c r="BI288" s="83" t="s">
        <v>127</v>
      </c>
      <c r="BJ288" s="83" t="s">
        <v>127</v>
      </c>
      <c r="BK288" s="81"/>
      <c r="BL288" s="81"/>
      <c r="BM288" s="81"/>
      <c r="BN288" s="81"/>
      <c r="BO288" s="81"/>
      <c r="BS288" s="81">
        <v>63</v>
      </c>
      <c r="BT288" s="80">
        <f>+G288</f>
        <v>107</v>
      </c>
      <c r="BU288" s="64">
        <f>+K288</f>
        <v>143</v>
      </c>
      <c r="BV288" s="64">
        <f>+O288</f>
        <v>169</v>
      </c>
      <c r="BW288" s="64">
        <f>+R288</f>
        <v>188</v>
      </c>
      <c r="BX288" s="64">
        <f>+W288</f>
        <v>217</v>
      </c>
      <c r="BY288" s="64">
        <f>+AA288</f>
        <v>240</v>
      </c>
      <c r="BZ288" s="64">
        <f>+AE288</f>
        <v>262</v>
      </c>
      <c r="CA288" s="64">
        <f>+AI288</f>
        <v>277</v>
      </c>
      <c r="CB288" s="64">
        <f>+AM288</f>
        <v>282</v>
      </c>
      <c r="CC288" s="64">
        <f>+AQ288</f>
        <v>294</v>
      </c>
      <c r="CD288" s="64">
        <f>+AU288</f>
        <v>308</v>
      </c>
      <c r="CE288" s="64">
        <f>+AY288</f>
        <v>309</v>
      </c>
      <c r="CF288" s="64">
        <f>+BC288</f>
        <v>304</v>
      </c>
      <c r="CG288" s="64">
        <f>+BG288</f>
        <v>308</v>
      </c>
      <c r="CH288" s="64"/>
      <c r="CI288" s="64"/>
    </row>
    <row r="289" spans="2:87" x14ac:dyDescent="0.2">
      <c r="B289" t="s">
        <v>216</v>
      </c>
      <c r="D289" s="81">
        <v>39</v>
      </c>
      <c r="E289" s="81">
        <v>45</v>
      </c>
      <c r="F289" s="81">
        <v>54</v>
      </c>
      <c r="G289" s="81">
        <v>64</v>
      </c>
      <c r="H289" s="81">
        <v>72</v>
      </c>
      <c r="I289" s="81">
        <v>85</v>
      </c>
      <c r="J289" s="81">
        <v>98</v>
      </c>
      <c r="K289" s="81">
        <v>105</v>
      </c>
      <c r="L289" s="81">
        <v>119</v>
      </c>
      <c r="M289" s="81">
        <v>129</v>
      </c>
      <c r="N289" s="81">
        <v>141</v>
      </c>
      <c r="O289" s="81">
        <v>153</v>
      </c>
      <c r="P289" s="81">
        <v>167</v>
      </c>
      <c r="Q289" s="81">
        <v>181</v>
      </c>
      <c r="R289" s="81">
        <v>189</v>
      </c>
      <c r="S289" s="81">
        <v>200</v>
      </c>
      <c r="T289" s="81">
        <v>216</v>
      </c>
      <c r="U289" s="81">
        <v>228</v>
      </c>
      <c r="V289" s="81">
        <v>242</v>
      </c>
      <c r="W289" s="81">
        <v>253</v>
      </c>
      <c r="X289" s="81">
        <v>270</v>
      </c>
      <c r="Y289" s="81">
        <v>284.5</v>
      </c>
      <c r="Z289" s="81">
        <v>300</v>
      </c>
      <c r="AA289" s="81">
        <v>309</v>
      </c>
      <c r="AB289" s="81">
        <v>328.75</v>
      </c>
      <c r="AC289" s="81">
        <v>346</v>
      </c>
      <c r="AD289" s="81">
        <v>368</v>
      </c>
      <c r="AE289" s="81">
        <v>396</v>
      </c>
      <c r="AF289" s="81">
        <v>427</v>
      </c>
      <c r="AG289" s="81">
        <v>453</v>
      </c>
      <c r="AH289" s="81">
        <v>476</v>
      </c>
      <c r="AI289" s="81">
        <v>499</v>
      </c>
      <c r="AJ289" s="81">
        <v>529</v>
      </c>
      <c r="AK289" s="81">
        <v>546</v>
      </c>
      <c r="AL289" s="81">
        <v>561</v>
      </c>
      <c r="AM289" s="81">
        <v>577</v>
      </c>
      <c r="AN289" s="81">
        <v>600</v>
      </c>
      <c r="AO289" s="81">
        <v>615</v>
      </c>
      <c r="AP289" s="81">
        <v>627</v>
      </c>
      <c r="AQ289" s="81">
        <v>641</v>
      </c>
      <c r="AR289" s="81">
        <v>678</v>
      </c>
      <c r="AS289" s="81">
        <v>699</v>
      </c>
      <c r="AT289" s="81">
        <v>727</v>
      </c>
      <c r="AU289" s="81">
        <v>744</v>
      </c>
      <c r="AV289" s="81">
        <v>760</v>
      </c>
      <c r="AW289" s="81">
        <v>788</v>
      </c>
      <c r="AX289" s="81">
        <v>805</v>
      </c>
      <c r="AY289" s="81">
        <v>806</v>
      </c>
      <c r="AZ289" s="81">
        <v>827</v>
      </c>
      <c r="BA289" s="81">
        <v>836</v>
      </c>
      <c r="BB289" s="81">
        <v>845</v>
      </c>
      <c r="BC289" s="81">
        <v>854</v>
      </c>
      <c r="BD289" s="81">
        <v>873</v>
      </c>
      <c r="BE289" s="81">
        <v>891</v>
      </c>
      <c r="BF289" s="81">
        <v>899</v>
      </c>
      <c r="BG289" s="81">
        <v>914</v>
      </c>
      <c r="BH289" s="83" t="s">
        <v>127</v>
      </c>
      <c r="BI289" s="83" t="s">
        <v>127</v>
      </c>
      <c r="BJ289" s="83" t="s">
        <v>127</v>
      </c>
      <c r="BK289" s="81"/>
      <c r="BL289" s="81"/>
      <c r="BM289" s="81"/>
      <c r="BN289" s="81"/>
      <c r="BO289" s="81"/>
      <c r="BS289" s="81">
        <v>29</v>
      </c>
      <c r="BT289" s="80">
        <f>+G289</f>
        <v>64</v>
      </c>
      <c r="BU289" s="64">
        <f>+K289</f>
        <v>105</v>
      </c>
      <c r="BV289" s="64">
        <f>+O289</f>
        <v>153</v>
      </c>
      <c r="BW289" s="64">
        <f>+R289</f>
        <v>189</v>
      </c>
      <c r="BX289" s="64">
        <f>+W289</f>
        <v>253</v>
      </c>
      <c r="BY289" s="64">
        <f>+AA289</f>
        <v>309</v>
      </c>
      <c r="BZ289" s="64">
        <f>+AE289</f>
        <v>396</v>
      </c>
      <c r="CA289" s="64">
        <f>+AI289</f>
        <v>499</v>
      </c>
      <c r="CB289" s="64">
        <f>+AM289</f>
        <v>577</v>
      </c>
      <c r="CC289" s="64">
        <f>+AQ289</f>
        <v>641</v>
      </c>
      <c r="CD289" s="64">
        <f>+AU289</f>
        <v>744</v>
      </c>
      <c r="CE289" s="64">
        <f>+AY289</f>
        <v>806</v>
      </c>
      <c r="CF289" s="64">
        <f>+BC289</f>
        <v>854</v>
      </c>
      <c r="CG289" s="64">
        <f>+BG289</f>
        <v>914</v>
      </c>
      <c r="CH289" s="64"/>
      <c r="CI289" s="64"/>
    </row>
    <row r="290" spans="2:87" ht="13.5" x14ac:dyDescent="0.35">
      <c r="B290" t="s">
        <v>217</v>
      </c>
      <c r="D290" s="82">
        <v>34</v>
      </c>
      <c r="E290" s="82">
        <v>42</v>
      </c>
      <c r="F290" s="82">
        <v>53</v>
      </c>
      <c r="G290" s="82">
        <v>57</v>
      </c>
      <c r="H290" s="82">
        <v>75</v>
      </c>
      <c r="I290" s="82">
        <v>88</v>
      </c>
      <c r="J290" s="82">
        <v>100</v>
      </c>
      <c r="K290" s="82">
        <v>109</v>
      </c>
      <c r="L290" s="82">
        <v>126</v>
      </c>
      <c r="M290" s="82">
        <v>139</v>
      </c>
      <c r="N290" s="82">
        <v>152</v>
      </c>
      <c r="O290" s="82">
        <v>161</v>
      </c>
      <c r="P290" s="82">
        <v>180</v>
      </c>
      <c r="Q290" s="82">
        <v>195</v>
      </c>
      <c r="R290" s="82">
        <v>208</v>
      </c>
      <c r="S290" s="82">
        <v>216</v>
      </c>
      <c r="T290" s="82">
        <v>233</v>
      </c>
      <c r="U290" s="82">
        <v>244</v>
      </c>
      <c r="V290" s="82">
        <v>256</v>
      </c>
      <c r="W290" s="82">
        <v>263</v>
      </c>
      <c r="X290" s="82">
        <v>280</v>
      </c>
      <c r="Y290" s="82">
        <v>291.5</v>
      </c>
      <c r="Z290" s="82">
        <v>308</v>
      </c>
      <c r="AA290" s="82">
        <v>319</v>
      </c>
      <c r="AB290" s="82">
        <v>339.75</v>
      </c>
      <c r="AC290" s="82">
        <v>355</v>
      </c>
      <c r="AD290" s="82">
        <v>377</v>
      </c>
      <c r="AE290" s="82">
        <v>388</v>
      </c>
      <c r="AF290" s="82">
        <v>408</v>
      </c>
      <c r="AG290" s="82">
        <v>419</v>
      </c>
      <c r="AH290" s="82">
        <v>433</v>
      </c>
      <c r="AI290" s="82">
        <v>441</v>
      </c>
      <c r="AJ290" s="82">
        <v>453</v>
      </c>
      <c r="AK290" s="82">
        <v>461</v>
      </c>
      <c r="AL290" s="82">
        <v>470</v>
      </c>
      <c r="AM290" s="82">
        <v>478</v>
      </c>
      <c r="AN290" s="82">
        <v>490</v>
      </c>
      <c r="AO290" s="82">
        <v>499</v>
      </c>
      <c r="AP290" s="82">
        <v>519</v>
      </c>
      <c r="AQ290" s="82">
        <v>532</v>
      </c>
      <c r="AR290" s="82">
        <v>556</v>
      </c>
      <c r="AS290" s="82">
        <v>583</v>
      </c>
      <c r="AT290" s="82">
        <v>593</v>
      </c>
      <c r="AU290" s="82">
        <v>598</v>
      </c>
      <c r="AV290" s="82">
        <v>613</v>
      </c>
      <c r="AW290" s="82">
        <v>618</v>
      </c>
      <c r="AX290" s="82">
        <v>622</v>
      </c>
      <c r="AY290" s="82">
        <v>619</v>
      </c>
      <c r="AZ290" s="82">
        <v>629</v>
      </c>
      <c r="BA290" s="82">
        <v>631</v>
      </c>
      <c r="BB290" s="82">
        <v>638</v>
      </c>
      <c r="BC290" s="82">
        <v>643</v>
      </c>
      <c r="BD290" s="82">
        <v>657</v>
      </c>
      <c r="BE290" s="82">
        <v>665</v>
      </c>
      <c r="BF290" s="82">
        <v>676</v>
      </c>
      <c r="BG290" s="82">
        <v>683</v>
      </c>
      <c r="BH290" s="85" t="s">
        <v>127</v>
      </c>
      <c r="BI290" s="85" t="s">
        <v>127</v>
      </c>
      <c r="BJ290" s="85" t="s">
        <v>127</v>
      </c>
      <c r="BK290" s="82"/>
      <c r="BL290" s="82"/>
      <c r="BM290" s="82"/>
      <c r="BN290" s="82"/>
      <c r="BO290" s="82"/>
      <c r="BS290" s="82">
        <v>29</v>
      </c>
      <c r="BT290" s="72">
        <f>+G290</f>
        <v>57</v>
      </c>
      <c r="BU290" s="65">
        <f>+K290</f>
        <v>109</v>
      </c>
      <c r="BV290" s="65">
        <f>+O290</f>
        <v>161</v>
      </c>
      <c r="BW290" s="65">
        <f>+R290</f>
        <v>208</v>
      </c>
      <c r="BX290" s="65">
        <f>+W290</f>
        <v>263</v>
      </c>
      <c r="BY290" s="65">
        <f>+AA290</f>
        <v>319</v>
      </c>
      <c r="BZ290" s="65">
        <f>+AE290</f>
        <v>388</v>
      </c>
      <c r="CA290" s="65">
        <f>+AI290</f>
        <v>441</v>
      </c>
      <c r="CB290" s="65">
        <f>+AM290</f>
        <v>478</v>
      </c>
      <c r="CC290" s="65">
        <f>+AQ290</f>
        <v>532</v>
      </c>
      <c r="CD290" s="65">
        <f>+AU290</f>
        <v>598</v>
      </c>
      <c r="CE290" s="65">
        <f>+AY290</f>
        <v>619</v>
      </c>
      <c r="CF290" s="65">
        <f>+BC290</f>
        <v>643</v>
      </c>
      <c r="CG290" s="65">
        <f>+BG290</f>
        <v>683</v>
      </c>
      <c r="CH290" s="65"/>
      <c r="CI290" s="65"/>
    </row>
    <row r="291" spans="2:87" s="44" customFormat="1" x14ac:dyDescent="0.2">
      <c r="B291" s="110" t="s">
        <v>259</v>
      </c>
      <c r="D291" s="111">
        <f>SUM(D287:D290)</f>
        <v>234</v>
      </c>
      <c r="E291" s="111">
        <f t="shared" ref="E291:AT291" si="602">SUM(E287:E290)</f>
        <v>257</v>
      </c>
      <c r="F291" s="111">
        <f t="shared" si="602"/>
        <v>293</v>
      </c>
      <c r="G291" s="111">
        <f t="shared" si="602"/>
        <v>327</v>
      </c>
      <c r="H291" s="111">
        <f t="shared" si="602"/>
        <v>372</v>
      </c>
      <c r="I291" s="111">
        <f t="shared" si="602"/>
        <v>417</v>
      </c>
      <c r="J291" s="111">
        <f t="shared" si="602"/>
        <v>457</v>
      </c>
      <c r="K291" s="111">
        <f t="shared" si="602"/>
        <v>483</v>
      </c>
      <c r="L291" s="111">
        <f t="shared" si="602"/>
        <v>526</v>
      </c>
      <c r="M291" s="111">
        <f t="shared" si="602"/>
        <v>552</v>
      </c>
      <c r="N291" s="111">
        <f t="shared" si="602"/>
        <v>585</v>
      </c>
      <c r="O291" s="111">
        <f t="shared" si="602"/>
        <v>618</v>
      </c>
      <c r="P291" s="111">
        <f t="shared" si="602"/>
        <v>665</v>
      </c>
      <c r="Q291" s="111">
        <f t="shared" si="602"/>
        <v>700</v>
      </c>
      <c r="R291" s="111">
        <f t="shared" si="602"/>
        <v>729</v>
      </c>
      <c r="S291" s="111">
        <f t="shared" si="602"/>
        <v>758</v>
      </c>
      <c r="T291" s="111">
        <f t="shared" si="602"/>
        <v>802</v>
      </c>
      <c r="U291" s="111">
        <f t="shared" si="602"/>
        <v>830</v>
      </c>
      <c r="V291" s="111">
        <f t="shared" si="602"/>
        <v>865</v>
      </c>
      <c r="W291" s="111">
        <f t="shared" si="602"/>
        <v>890</v>
      </c>
      <c r="X291" s="111">
        <f t="shared" si="602"/>
        <v>936</v>
      </c>
      <c r="Y291" s="111">
        <f t="shared" si="602"/>
        <v>968</v>
      </c>
      <c r="Z291" s="111">
        <f t="shared" si="602"/>
        <v>1008</v>
      </c>
      <c r="AA291" s="111">
        <f t="shared" si="602"/>
        <v>1037</v>
      </c>
      <c r="AB291" s="111">
        <f t="shared" si="602"/>
        <v>1090</v>
      </c>
      <c r="AC291" s="111">
        <f t="shared" si="602"/>
        <v>1128</v>
      </c>
      <c r="AD291" s="111">
        <f t="shared" si="602"/>
        <v>1179</v>
      </c>
      <c r="AE291" s="111">
        <f t="shared" si="602"/>
        <v>1226</v>
      </c>
      <c r="AF291" s="111">
        <f t="shared" si="602"/>
        <v>1284</v>
      </c>
      <c r="AG291" s="111">
        <f t="shared" si="602"/>
        <v>1326</v>
      </c>
      <c r="AH291" s="111">
        <f t="shared" si="602"/>
        <v>1368</v>
      </c>
      <c r="AI291" s="111">
        <f t="shared" si="602"/>
        <v>1401</v>
      </c>
      <c r="AJ291" s="111">
        <f t="shared" si="602"/>
        <v>1449</v>
      </c>
      <c r="AK291" s="111">
        <f t="shared" si="602"/>
        <v>1471</v>
      </c>
      <c r="AL291" s="111">
        <f t="shared" si="602"/>
        <v>1494</v>
      </c>
      <c r="AM291" s="111">
        <f t="shared" si="602"/>
        <v>1523</v>
      </c>
      <c r="AN291" s="111">
        <f t="shared" si="602"/>
        <v>1562</v>
      </c>
      <c r="AO291" s="111">
        <f t="shared" si="602"/>
        <v>1587</v>
      </c>
      <c r="AP291" s="111">
        <f t="shared" si="602"/>
        <v>1623</v>
      </c>
      <c r="AQ291" s="111">
        <f t="shared" si="602"/>
        <v>1657</v>
      </c>
      <c r="AR291" s="111">
        <f t="shared" si="602"/>
        <v>1734</v>
      </c>
      <c r="AS291" s="111">
        <f t="shared" si="602"/>
        <v>1785</v>
      </c>
      <c r="AT291" s="111">
        <f t="shared" si="602"/>
        <v>1821</v>
      </c>
      <c r="AU291" s="111">
        <f t="shared" ref="AU291:AZ291" si="603">SUM(AU287:AU290)</f>
        <v>1845</v>
      </c>
      <c r="AV291" s="111">
        <f t="shared" si="603"/>
        <v>1877</v>
      </c>
      <c r="AW291" s="111">
        <f t="shared" si="603"/>
        <v>1908</v>
      </c>
      <c r="AX291" s="111">
        <f t="shared" si="603"/>
        <v>1931</v>
      </c>
      <c r="AY291" s="111">
        <f t="shared" si="603"/>
        <v>1929</v>
      </c>
      <c r="AZ291" s="111">
        <f t="shared" si="603"/>
        <v>1959</v>
      </c>
      <c r="BA291" s="111">
        <f t="shared" ref="BA291:BG291" si="604">SUM(BA287:BA290)</f>
        <v>1967</v>
      </c>
      <c r="BB291" s="111">
        <f t="shared" si="604"/>
        <v>1983</v>
      </c>
      <c r="BC291" s="111">
        <f t="shared" si="604"/>
        <v>2000</v>
      </c>
      <c r="BD291" s="111">
        <f t="shared" si="604"/>
        <v>2037</v>
      </c>
      <c r="BE291" s="111">
        <f t="shared" si="604"/>
        <v>2065</v>
      </c>
      <c r="BF291" s="111">
        <f t="shared" si="604"/>
        <v>2085</v>
      </c>
      <c r="BG291" s="111">
        <f t="shared" si="604"/>
        <v>2110</v>
      </c>
      <c r="BH291" s="212" t="str">
        <f>IFERROR(BH287+BH288+BH289+BH290,"n/a")</f>
        <v>n/a</v>
      </c>
      <c r="BI291" s="212" t="str">
        <f>IFERROR(BI287+BI288+BI289+BI290,"n/a")</f>
        <v>n/a</v>
      </c>
      <c r="BJ291" s="212" t="str">
        <f>IFERROR(BJ287+BJ288+BJ289+BJ290,"n/a")</f>
        <v>n/a</v>
      </c>
      <c r="BK291" s="111"/>
      <c r="BL291" s="111"/>
      <c r="BM291" s="111"/>
      <c r="BN291" s="111"/>
      <c r="BO291" s="111"/>
      <c r="BS291" s="111">
        <f t="shared" ref="BS291:CC291" si="605">SUM(BS287:BS290)</f>
        <v>185</v>
      </c>
      <c r="BT291" s="111">
        <f t="shared" si="605"/>
        <v>327</v>
      </c>
      <c r="BU291" s="111">
        <f t="shared" si="605"/>
        <v>483</v>
      </c>
      <c r="BV291" s="111">
        <f t="shared" si="605"/>
        <v>618</v>
      </c>
      <c r="BW291" s="111">
        <f t="shared" si="605"/>
        <v>729</v>
      </c>
      <c r="BX291" s="111">
        <f t="shared" si="605"/>
        <v>890</v>
      </c>
      <c r="BY291" s="111">
        <f t="shared" si="605"/>
        <v>1037</v>
      </c>
      <c r="BZ291" s="111">
        <f t="shared" si="605"/>
        <v>1226</v>
      </c>
      <c r="CA291" s="111">
        <f t="shared" si="605"/>
        <v>1401</v>
      </c>
      <c r="CB291" s="111">
        <f t="shared" si="605"/>
        <v>1523</v>
      </c>
      <c r="CC291" s="111">
        <f t="shared" si="605"/>
        <v>1657</v>
      </c>
      <c r="CD291" s="111">
        <f>+AU291</f>
        <v>1845</v>
      </c>
      <c r="CE291" s="111">
        <f>+AY291</f>
        <v>1929</v>
      </c>
      <c r="CF291" s="111">
        <f>+BC291</f>
        <v>2000</v>
      </c>
      <c r="CG291" s="111">
        <f>+BG291</f>
        <v>2110</v>
      </c>
      <c r="CH291" s="111"/>
      <c r="CI291" s="111"/>
    </row>
    <row r="292" spans="2:87" x14ac:dyDescent="0.2">
      <c r="AK292" s="123" t="s">
        <v>219</v>
      </c>
      <c r="AL292" s="115">
        <v>1510</v>
      </c>
    </row>
    <row r="293" spans="2:87" x14ac:dyDescent="0.2">
      <c r="B293" s="62" t="s">
        <v>17</v>
      </c>
    </row>
    <row r="294" spans="2:87" s="76" customFormat="1" x14ac:dyDescent="0.2">
      <c r="B294" s="60" t="s">
        <v>214</v>
      </c>
      <c r="H294" s="106">
        <f>+H287/D287-1</f>
        <v>0.28048780487804881</v>
      </c>
      <c r="I294" s="106">
        <f t="shared" ref="I294:BG298" si="606">+I287/E287-1</f>
        <v>0.37647058823529411</v>
      </c>
      <c r="J294" s="106">
        <f t="shared" si="606"/>
        <v>0.34782608695652173</v>
      </c>
      <c r="K294" s="106">
        <f t="shared" si="606"/>
        <v>0.27272727272727271</v>
      </c>
      <c r="L294" s="106">
        <f t="shared" si="606"/>
        <v>0.22857142857142865</v>
      </c>
      <c r="M294" s="106">
        <f t="shared" si="606"/>
        <v>0.11111111111111116</v>
      </c>
      <c r="N294" s="106">
        <f t="shared" si="606"/>
        <v>6.4516129032258007E-2</v>
      </c>
      <c r="O294" s="106">
        <f t="shared" si="606"/>
        <v>7.1428571428571397E-2</v>
      </c>
      <c r="P294" s="106">
        <f t="shared" si="606"/>
        <v>7.7519379844961156E-2</v>
      </c>
      <c r="Q294" s="106">
        <f t="shared" si="606"/>
        <v>9.2307692307692202E-2</v>
      </c>
      <c r="R294" s="106">
        <f t="shared" si="606"/>
        <v>9.0909090909090828E-2</v>
      </c>
      <c r="S294" s="106">
        <f t="shared" si="606"/>
        <v>8.8888888888888795E-2</v>
      </c>
      <c r="T294" s="106">
        <f t="shared" si="606"/>
        <v>7.9136690647481966E-2</v>
      </c>
      <c r="U294" s="106">
        <f t="shared" si="606"/>
        <v>7.0422535211267512E-2</v>
      </c>
      <c r="V294" s="106">
        <f t="shared" si="606"/>
        <v>7.638888888888884E-2</v>
      </c>
      <c r="W294" s="106">
        <f t="shared" si="606"/>
        <v>6.8027210884353817E-2</v>
      </c>
      <c r="X294" s="106">
        <f t="shared" si="606"/>
        <v>7.333333333333325E-2</v>
      </c>
      <c r="Y294" s="106">
        <f t="shared" si="606"/>
        <v>7.8947368421052655E-2</v>
      </c>
      <c r="Z294" s="106">
        <f t="shared" si="606"/>
        <v>7.7419354838709653E-2</v>
      </c>
      <c r="AA294" s="106">
        <f t="shared" si="606"/>
        <v>7.6433121019108263E-2</v>
      </c>
      <c r="AB294" s="106">
        <f t="shared" si="606"/>
        <v>7.2981366459627273E-2</v>
      </c>
      <c r="AC294" s="106">
        <f t="shared" si="606"/>
        <v>6.7073170731707377E-2</v>
      </c>
      <c r="AD294" s="106">
        <f t="shared" si="606"/>
        <v>6.5868263473053856E-2</v>
      </c>
      <c r="AE294" s="106">
        <f t="shared" si="606"/>
        <v>6.5088757396449815E-2</v>
      </c>
      <c r="AF294" s="106">
        <f t="shared" si="606"/>
        <v>5.3545586107091259E-2</v>
      </c>
      <c r="AG294" s="106">
        <f t="shared" si="606"/>
        <v>4.5714285714285818E-2</v>
      </c>
      <c r="AH294" s="106">
        <f t="shared" si="606"/>
        <v>3.9325842696629199E-2</v>
      </c>
      <c r="AI294" s="106">
        <f t="shared" si="606"/>
        <v>2.2222222222222143E-2</v>
      </c>
      <c r="AJ294" s="106">
        <f t="shared" si="606"/>
        <v>1.6483516483516425E-2</v>
      </c>
      <c r="AK294" s="106">
        <f t="shared" si="606"/>
        <v>1.0928961748633892E-2</v>
      </c>
      <c r="AL294" s="106">
        <f t="shared" si="606"/>
        <v>0</v>
      </c>
      <c r="AM294" s="106">
        <f t="shared" si="606"/>
        <v>1.0869565217391353E-2</v>
      </c>
      <c r="AN294" s="106">
        <f t="shared" si="606"/>
        <v>5.4054054054053502E-3</v>
      </c>
      <c r="AO294" s="106">
        <f t="shared" si="606"/>
        <v>1.08108108108107E-2</v>
      </c>
      <c r="AP294" s="106">
        <f t="shared" si="606"/>
        <v>2.1621621621621623E-2</v>
      </c>
      <c r="AQ294" s="106">
        <f t="shared" si="606"/>
        <v>2.1505376344086002E-2</v>
      </c>
      <c r="AR294" s="106">
        <f t="shared" si="606"/>
        <v>4.8387096774193505E-2</v>
      </c>
      <c r="AS294" s="106">
        <f t="shared" si="606"/>
        <v>5.8823529411764719E-2</v>
      </c>
      <c r="AT294" s="106">
        <f t="shared" si="606"/>
        <v>3.7037037037036979E-2</v>
      </c>
      <c r="AU294" s="106">
        <f t="shared" si="606"/>
        <v>2.6315789473684292E-2</v>
      </c>
      <c r="AV294" s="106">
        <f t="shared" si="606"/>
        <v>0</v>
      </c>
      <c r="AW294" s="106">
        <f t="shared" si="606"/>
        <v>-1.5151515151515138E-2</v>
      </c>
      <c r="AX294" s="106">
        <f t="shared" si="606"/>
        <v>0</v>
      </c>
      <c r="AY294" s="106">
        <f t="shared" si="606"/>
        <v>0</v>
      </c>
      <c r="AZ294" s="106">
        <f t="shared" si="606"/>
        <v>5.12820512820511E-3</v>
      </c>
      <c r="BA294" s="106">
        <f t="shared" si="606"/>
        <v>1.025641025641022E-2</v>
      </c>
      <c r="BB294" s="106">
        <f t="shared" si="606"/>
        <v>5.1020408163264808E-3</v>
      </c>
      <c r="BC294" s="106">
        <f t="shared" si="606"/>
        <v>2.051282051282044E-2</v>
      </c>
      <c r="BD294" s="106">
        <f t="shared" si="606"/>
        <v>2.0408163265306145E-2</v>
      </c>
      <c r="BE294" s="106">
        <f t="shared" si="606"/>
        <v>2.5380710659898442E-2</v>
      </c>
      <c r="BF294" s="106">
        <f t="shared" si="606"/>
        <v>3.0456852791878264E-2</v>
      </c>
      <c r="BG294" s="106">
        <f t="shared" si="606"/>
        <v>3.015075376884413E-2</v>
      </c>
      <c r="BH294" s="164" t="str">
        <f>+IFERROR(BH287/BD287-1,"n/a")</f>
        <v>n/a</v>
      </c>
      <c r="BI294" s="164" t="str">
        <f>+IFERROR(BI287/BE287-1,"n/a")</f>
        <v>n/a</v>
      </c>
      <c r="BJ294" s="164" t="str">
        <f>+IFERROR(BJ287/BF287-1,"n/a")</f>
        <v>n/a</v>
      </c>
      <c r="BK294" s="106"/>
      <c r="BL294" s="106"/>
      <c r="BM294" s="106"/>
      <c r="BN294" s="106"/>
      <c r="BO294" s="106"/>
      <c r="BP294" s="106"/>
      <c r="BQ294" s="106"/>
      <c r="BR294" s="106"/>
      <c r="BS294" s="106"/>
      <c r="BT294" s="106">
        <f>+BT287/BS287-1</f>
        <v>0.546875</v>
      </c>
      <c r="BU294" s="106">
        <f>+BU287/BT287-1</f>
        <v>0.27272727272727271</v>
      </c>
      <c r="BV294" s="106">
        <f t="shared" ref="BV294:CG294" si="607">+BV287/BU287-1</f>
        <v>7.1428571428571397E-2</v>
      </c>
      <c r="BW294" s="106">
        <f t="shared" si="607"/>
        <v>6.6666666666666652E-2</v>
      </c>
      <c r="BX294" s="106">
        <f t="shared" si="607"/>
        <v>9.0277777777777679E-2</v>
      </c>
      <c r="BY294" s="106">
        <f t="shared" si="607"/>
        <v>7.6433121019108263E-2</v>
      </c>
      <c r="BZ294" s="106">
        <f t="shared" si="607"/>
        <v>6.5088757396449815E-2</v>
      </c>
      <c r="CA294" s="106">
        <f t="shared" si="607"/>
        <v>2.2222222222222143E-2</v>
      </c>
      <c r="CB294" s="106">
        <f t="shared" si="607"/>
        <v>1.0869565217391353E-2</v>
      </c>
      <c r="CC294" s="106">
        <f t="shared" si="607"/>
        <v>2.1505376344086002E-2</v>
      </c>
      <c r="CD294" s="106">
        <f t="shared" si="607"/>
        <v>2.6315789473684292E-2</v>
      </c>
      <c r="CE294" s="106">
        <f t="shared" si="607"/>
        <v>0</v>
      </c>
      <c r="CF294" s="106">
        <f t="shared" si="607"/>
        <v>2.051282051282044E-2</v>
      </c>
      <c r="CG294" s="106">
        <f t="shared" si="607"/>
        <v>3.015075376884413E-2</v>
      </c>
      <c r="CH294" s="106"/>
      <c r="CI294" s="106"/>
    </row>
    <row r="295" spans="2:87" s="76" customFormat="1" x14ac:dyDescent="0.2">
      <c r="B295" s="60" t="s">
        <v>215</v>
      </c>
      <c r="H295" s="106">
        <f>+H288/D288-1</f>
        <v>0.518987341772152</v>
      </c>
      <c r="I295" s="106">
        <f t="shared" si="606"/>
        <v>0.49411764705882355</v>
      </c>
      <c r="J295" s="106">
        <f t="shared" si="606"/>
        <v>0.43617021276595747</v>
      </c>
      <c r="K295" s="106">
        <f t="shared" si="606"/>
        <v>0.33644859813084116</v>
      </c>
      <c r="L295" s="106">
        <f t="shared" si="606"/>
        <v>0.26666666666666661</v>
      </c>
      <c r="M295" s="106">
        <f t="shared" si="606"/>
        <v>0.21259842519685046</v>
      </c>
      <c r="N295" s="106">
        <f t="shared" si="606"/>
        <v>0.18518518518518512</v>
      </c>
      <c r="O295" s="106">
        <f t="shared" si="606"/>
        <v>0.18181818181818188</v>
      </c>
      <c r="P295" s="106">
        <f t="shared" si="606"/>
        <v>0.17763157894736836</v>
      </c>
      <c r="Q295" s="106">
        <f t="shared" si="606"/>
        <v>0.18181818181818188</v>
      </c>
      <c r="R295" s="106">
        <f t="shared" si="606"/>
        <v>0.17500000000000004</v>
      </c>
      <c r="S295" s="106">
        <f t="shared" si="606"/>
        <v>0.15384615384615374</v>
      </c>
      <c r="T295" s="106">
        <f t="shared" si="606"/>
        <v>0.13407821229050287</v>
      </c>
      <c r="U295" s="106">
        <f t="shared" si="606"/>
        <v>0.13186813186813184</v>
      </c>
      <c r="V295" s="106">
        <f t="shared" si="606"/>
        <v>0.12765957446808507</v>
      </c>
      <c r="W295" s="106">
        <f t="shared" si="606"/>
        <v>0.11282051282051286</v>
      </c>
      <c r="X295" s="106">
        <f t="shared" si="606"/>
        <v>0.10837438423645329</v>
      </c>
      <c r="Y295" s="106">
        <f t="shared" si="606"/>
        <v>0.10679611650485432</v>
      </c>
      <c r="Z295" s="106">
        <f t="shared" si="606"/>
        <v>9.9056603773584939E-2</v>
      </c>
      <c r="AA295" s="106">
        <f t="shared" si="606"/>
        <v>0.10599078341013835</v>
      </c>
      <c r="AB295" s="106">
        <f t="shared" si="606"/>
        <v>0.10555555555555562</v>
      </c>
      <c r="AC295" s="106">
        <f t="shared" si="606"/>
        <v>0.10526315789473695</v>
      </c>
      <c r="AD295" s="106">
        <f t="shared" si="606"/>
        <v>9.8712446351931327E-2</v>
      </c>
      <c r="AE295" s="106">
        <f t="shared" si="606"/>
        <v>9.1666666666666563E-2</v>
      </c>
      <c r="AF295" s="106">
        <f t="shared" si="606"/>
        <v>7.3366834170854212E-2</v>
      </c>
      <c r="AG295" s="106">
        <f t="shared" si="606"/>
        <v>7.5396825396825351E-2</v>
      </c>
      <c r="AH295" s="106">
        <f t="shared" si="606"/>
        <v>7.03125E-2</v>
      </c>
      <c r="AI295" s="106">
        <f t="shared" si="606"/>
        <v>5.7251908396946494E-2</v>
      </c>
      <c r="AJ295" s="106">
        <f t="shared" si="606"/>
        <v>5.6179775280898792E-2</v>
      </c>
      <c r="AK295" s="106">
        <f t="shared" si="606"/>
        <v>2.9520295202952074E-2</v>
      </c>
      <c r="AL295" s="106">
        <f t="shared" si="606"/>
        <v>1.4598540145985384E-2</v>
      </c>
      <c r="AM295" s="106">
        <f t="shared" si="606"/>
        <v>1.8050541516245522E-2</v>
      </c>
      <c r="AN295" s="106">
        <f t="shared" si="606"/>
        <v>1.4184397163120588E-2</v>
      </c>
      <c r="AO295" s="106">
        <f t="shared" si="606"/>
        <v>2.5089605734766929E-2</v>
      </c>
      <c r="AP295" s="106">
        <f t="shared" si="606"/>
        <v>3.5971223021582732E-2</v>
      </c>
      <c r="AQ295" s="106">
        <f t="shared" si="606"/>
        <v>4.2553191489361764E-2</v>
      </c>
      <c r="AR295" s="106">
        <f t="shared" si="606"/>
        <v>6.643356643356646E-2</v>
      </c>
      <c r="AS295" s="106">
        <f t="shared" si="606"/>
        <v>6.643356643356646E-2</v>
      </c>
      <c r="AT295" s="106">
        <f t="shared" si="606"/>
        <v>5.9027777777777679E-2</v>
      </c>
      <c r="AU295" s="106">
        <f t="shared" si="606"/>
        <v>4.7619047619047672E-2</v>
      </c>
      <c r="AV295" s="106">
        <f t="shared" si="606"/>
        <v>1.3114754098360715E-2</v>
      </c>
      <c r="AW295" s="106">
        <f t="shared" si="606"/>
        <v>6.5573770491802463E-3</v>
      </c>
      <c r="AX295" s="106">
        <f t="shared" si="606"/>
        <v>9.8360655737705915E-3</v>
      </c>
      <c r="AY295" s="106">
        <f t="shared" si="606"/>
        <v>3.2467532467532756E-3</v>
      </c>
      <c r="AZ295" s="106">
        <f t="shared" si="606"/>
        <v>-6.4724919093851474E-3</v>
      </c>
      <c r="BA295" s="106">
        <f t="shared" si="606"/>
        <v>-1.3029315960912058E-2</v>
      </c>
      <c r="BB295" s="106">
        <f t="shared" si="606"/>
        <v>-1.6233766233766267E-2</v>
      </c>
      <c r="BC295" s="106">
        <f t="shared" si="606"/>
        <v>-1.6181229773462813E-2</v>
      </c>
      <c r="BD295" s="106">
        <f t="shared" si="606"/>
        <v>0</v>
      </c>
      <c r="BE295" s="106">
        <f t="shared" si="606"/>
        <v>1.3201320132013139E-2</v>
      </c>
      <c r="BF295" s="106">
        <f t="shared" si="606"/>
        <v>1.3201320132013139E-2</v>
      </c>
      <c r="BG295" s="106">
        <f t="shared" si="606"/>
        <v>1.3157894736842035E-2</v>
      </c>
      <c r="BH295" s="164" t="str">
        <f t="shared" ref="BH295:BJ298" si="608">+IFERROR(BH288/BD288-1,"n/a")</f>
        <v>n/a</v>
      </c>
      <c r="BI295" s="164" t="str">
        <f t="shared" si="608"/>
        <v>n/a</v>
      </c>
      <c r="BJ295" s="164" t="str">
        <f t="shared" si="608"/>
        <v>n/a</v>
      </c>
      <c r="BK295" s="106"/>
      <c r="BL295" s="106"/>
      <c r="BM295" s="106"/>
      <c r="BN295" s="106"/>
      <c r="BO295" s="106"/>
      <c r="BP295" s="106"/>
      <c r="BQ295" s="106"/>
      <c r="BR295" s="106"/>
      <c r="BS295" s="106"/>
      <c r="BT295" s="106">
        <f t="shared" ref="BT295:CG298" si="609">+BT288/BS288-1</f>
        <v>0.69841269841269837</v>
      </c>
      <c r="BU295" s="106">
        <f t="shared" si="609"/>
        <v>0.33644859813084116</v>
      </c>
      <c r="BV295" s="106">
        <f t="shared" si="609"/>
        <v>0.18181818181818188</v>
      </c>
      <c r="BW295" s="106">
        <f t="shared" si="609"/>
        <v>0.11242603550295849</v>
      </c>
      <c r="BX295" s="106">
        <f t="shared" si="609"/>
        <v>0.1542553191489362</v>
      </c>
      <c r="BY295" s="106">
        <f t="shared" si="609"/>
        <v>0.10599078341013835</v>
      </c>
      <c r="BZ295" s="106">
        <f t="shared" si="609"/>
        <v>9.1666666666666563E-2</v>
      </c>
      <c r="CA295" s="106">
        <f t="shared" si="609"/>
        <v>5.7251908396946494E-2</v>
      </c>
      <c r="CB295" s="106">
        <f t="shared" si="609"/>
        <v>1.8050541516245522E-2</v>
      </c>
      <c r="CC295" s="106">
        <f t="shared" si="609"/>
        <v>4.2553191489361764E-2</v>
      </c>
      <c r="CD295" s="106">
        <f t="shared" si="609"/>
        <v>4.7619047619047672E-2</v>
      </c>
      <c r="CE295" s="106">
        <f t="shared" si="609"/>
        <v>3.2467532467532756E-3</v>
      </c>
      <c r="CF295" s="106">
        <f t="shared" si="609"/>
        <v>-1.6181229773462813E-2</v>
      </c>
      <c r="CG295" s="106">
        <f t="shared" si="609"/>
        <v>1.3157894736842035E-2</v>
      </c>
      <c r="CH295" s="106"/>
      <c r="CI295" s="106"/>
    </row>
    <row r="296" spans="2:87" s="76" customFormat="1" x14ac:dyDescent="0.2">
      <c r="B296" s="60" t="s">
        <v>216</v>
      </c>
      <c r="H296" s="106">
        <f>+H289/D289-1</f>
        <v>0.84615384615384626</v>
      </c>
      <c r="I296" s="106">
        <f t="shared" si="606"/>
        <v>0.88888888888888884</v>
      </c>
      <c r="J296" s="106">
        <f t="shared" si="606"/>
        <v>0.81481481481481488</v>
      </c>
      <c r="K296" s="106">
        <f t="shared" si="606"/>
        <v>0.640625</v>
      </c>
      <c r="L296" s="106">
        <f t="shared" si="606"/>
        <v>0.65277777777777768</v>
      </c>
      <c r="M296" s="106">
        <f t="shared" si="606"/>
        <v>0.51764705882352935</v>
      </c>
      <c r="N296" s="106">
        <f t="shared" si="606"/>
        <v>0.43877551020408156</v>
      </c>
      <c r="O296" s="106">
        <f t="shared" si="606"/>
        <v>0.45714285714285707</v>
      </c>
      <c r="P296" s="106">
        <f t="shared" si="606"/>
        <v>0.40336134453781503</v>
      </c>
      <c r="Q296" s="106">
        <f t="shared" si="606"/>
        <v>0.4031007751937985</v>
      </c>
      <c r="R296" s="106">
        <f t="shared" si="606"/>
        <v>0.34042553191489366</v>
      </c>
      <c r="S296" s="106">
        <f t="shared" si="606"/>
        <v>0.30718954248366015</v>
      </c>
      <c r="T296" s="106">
        <f t="shared" si="606"/>
        <v>0.29341317365269459</v>
      </c>
      <c r="U296" s="106">
        <f t="shared" si="606"/>
        <v>0.25966850828729271</v>
      </c>
      <c r="V296" s="106">
        <f t="shared" si="606"/>
        <v>0.28042328042328046</v>
      </c>
      <c r="W296" s="106">
        <f t="shared" si="606"/>
        <v>0.2649999999999999</v>
      </c>
      <c r="X296" s="106">
        <f t="shared" si="606"/>
        <v>0.25</v>
      </c>
      <c r="Y296" s="106">
        <f t="shared" si="606"/>
        <v>0.24780701754385959</v>
      </c>
      <c r="Z296" s="106">
        <f t="shared" si="606"/>
        <v>0.2396694214876034</v>
      </c>
      <c r="AA296" s="106">
        <f t="shared" si="606"/>
        <v>0.22134387351778662</v>
      </c>
      <c r="AB296" s="106">
        <f t="shared" si="606"/>
        <v>0.21759259259259256</v>
      </c>
      <c r="AC296" s="106">
        <f t="shared" si="606"/>
        <v>0.21616871704745177</v>
      </c>
      <c r="AD296" s="106">
        <f t="shared" si="606"/>
        <v>0.22666666666666657</v>
      </c>
      <c r="AE296" s="106">
        <f t="shared" si="606"/>
        <v>0.28155339805825252</v>
      </c>
      <c r="AF296" s="106">
        <f t="shared" si="606"/>
        <v>0.29885931558935352</v>
      </c>
      <c r="AG296" s="106">
        <f t="shared" si="606"/>
        <v>0.30924855491329484</v>
      </c>
      <c r="AH296" s="106">
        <f t="shared" si="606"/>
        <v>0.29347826086956519</v>
      </c>
      <c r="AI296" s="106">
        <f t="shared" si="606"/>
        <v>0.26010101010101017</v>
      </c>
      <c r="AJ296" s="106">
        <f t="shared" si="606"/>
        <v>0.23887587822014056</v>
      </c>
      <c r="AK296" s="106">
        <f t="shared" si="606"/>
        <v>0.20529801324503305</v>
      </c>
      <c r="AL296" s="106">
        <f t="shared" si="606"/>
        <v>0.1785714285714286</v>
      </c>
      <c r="AM296" s="106">
        <f t="shared" si="606"/>
        <v>0.15631262525050094</v>
      </c>
      <c r="AN296" s="106">
        <f t="shared" si="606"/>
        <v>0.13421550094517953</v>
      </c>
      <c r="AO296" s="106">
        <f t="shared" si="606"/>
        <v>0.12637362637362637</v>
      </c>
      <c r="AP296" s="106">
        <f t="shared" si="606"/>
        <v>0.11764705882352944</v>
      </c>
      <c r="AQ296" s="106">
        <f t="shared" si="606"/>
        <v>0.1109185441941074</v>
      </c>
      <c r="AR296" s="106">
        <f t="shared" si="606"/>
        <v>0.12999999999999989</v>
      </c>
      <c r="AS296" s="106">
        <f t="shared" si="606"/>
        <v>0.13658536585365844</v>
      </c>
      <c r="AT296" s="106">
        <f t="shared" si="606"/>
        <v>0.15948963317384379</v>
      </c>
      <c r="AU296" s="106">
        <f t="shared" si="606"/>
        <v>0.16068642745709827</v>
      </c>
      <c r="AV296" s="106">
        <f t="shared" si="606"/>
        <v>0.12094395280235992</v>
      </c>
      <c r="AW296" s="106">
        <f t="shared" si="606"/>
        <v>0.12732474964234619</v>
      </c>
      <c r="AX296" s="106">
        <f t="shared" si="606"/>
        <v>0.1072902338376891</v>
      </c>
      <c r="AY296" s="106">
        <f t="shared" si="606"/>
        <v>8.3333333333333259E-2</v>
      </c>
      <c r="AZ296" s="106">
        <f t="shared" si="606"/>
        <v>8.8157894736842213E-2</v>
      </c>
      <c r="BA296" s="106">
        <f t="shared" si="606"/>
        <v>6.0913705583756306E-2</v>
      </c>
      <c r="BB296" s="106">
        <f t="shared" si="606"/>
        <v>4.9689440993788914E-2</v>
      </c>
      <c r="BC296" s="106">
        <f t="shared" si="606"/>
        <v>5.9553349875930417E-2</v>
      </c>
      <c r="BD296" s="106">
        <f t="shared" si="606"/>
        <v>5.5622732769044836E-2</v>
      </c>
      <c r="BE296" s="106">
        <f t="shared" si="606"/>
        <v>6.578947368421062E-2</v>
      </c>
      <c r="BF296" s="106">
        <f t="shared" si="606"/>
        <v>6.3905325443786909E-2</v>
      </c>
      <c r="BG296" s="106">
        <f t="shared" si="606"/>
        <v>7.0257611241217877E-2</v>
      </c>
      <c r="BH296" s="164" t="str">
        <f t="shared" si="608"/>
        <v>n/a</v>
      </c>
      <c r="BI296" s="164" t="str">
        <f t="shared" si="608"/>
        <v>n/a</v>
      </c>
      <c r="BJ296" s="164" t="str">
        <f t="shared" si="608"/>
        <v>n/a</v>
      </c>
      <c r="BK296" s="106"/>
      <c r="BL296" s="106"/>
      <c r="BM296" s="106"/>
      <c r="BN296" s="106"/>
      <c r="BO296" s="106"/>
      <c r="BP296" s="106"/>
      <c r="BQ296" s="106"/>
      <c r="BR296" s="106"/>
      <c r="BS296" s="106"/>
      <c r="BT296" s="106">
        <f t="shared" si="609"/>
        <v>1.2068965517241379</v>
      </c>
      <c r="BU296" s="106">
        <f t="shared" si="609"/>
        <v>0.640625</v>
      </c>
      <c r="BV296" s="106">
        <f t="shared" si="609"/>
        <v>0.45714285714285707</v>
      </c>
      <c r="BW296" s="106">
        <f t="shared" si="609"/>
        <v>0.23529411764705888</v>
      </c>
      <c r="BX296" s="106">
        <f t="shared" si="609"/>
        <v>0.33862433862433861</v>
      </c>
      <c r="BY296" s="106">
        <f t="shared" si="609"/>
        <v>0.22134387351778662</v>
      </c>
      <c r="BZ296" s="106">
        <f t="shared" si="609"/>
        <v>0.28155339805825252</v>
      </c>
      <c r="CA296" s="106">
        <f t="shared" si="609"/>
        <v>0.26010101010101017</v>
      </c>
      <c r="CB296" s="106">
        <f t="shared" si="609"/>
        <v>0.15631262525050094</v>
      </c>
      <c r="CC296" s="106">
        <f t="shared" si="609"/>
        <v>0.1109185441941074</v>
      </c>
      <c r="CD296" s="106">
        <f t="shared" si="609"/>
        <v>0.16068642745709827</v>
      </c>
      <c r="CE296" s="106">
        <f t="shared" si="609"/>
        <v>8.3333333333333259E-2</v>
      </c>
      <c r="CF296" s="106">
        <f t="shared" si="609"/>
        <v>5.9553349875930417E-2</v>
      </c>
      <c r="CG296" s="106">
        <f t="shared" si="609"/>
        <v>7.0257611241217877E-2</v>
      </c>
      <c r="CH296" s="106"/>
      <c r="CI296" s="106"/>
    </row>
    <row r="297" spans="2:87" s="76" customFormat="1" ht="13.5" x14ac:dyDescent="0.35">
      <c r="B297" s="60" t="s">
        <v>217</v>
      </c>
      <c r="H297" s="108">
        <f>+H290/D290-1</f>
        <v>1.2058823529411766</v>
      </c>
      <c r="I297" s="108">
        <f t="shared" si="606"/>
        <v>1.0952380952380953</v>
      </c>
      <c r="J297" s="108">
        <f t="shared" si="606"/>
        <v>0.8867924528301887</v>
      </c>
      <c r="K297" s="108">
        <f t="shared" si="606"/>
        <v>0.91228070175438591</v>
      </c>
      <c r="L297" s="108">
        <f t="shared" si="606"/>
        <v>0.67999999999999994</v>
      </c>
      <c r="M297" s="108">
        <f t="shared" si="606"/>
        <v>0.57954545454545459</v>
      </c>
      <c r="N297" s="108">
        <f t="shared" si="606"/>
        <v>0.52</v>
      </c>
      <c r="O297" s="108">
        <f t="shared" si="606"/>
        <v>0.47706422018348627</v>
      </c>
      <c r="P297" s="108">
        <f t="shared" si="606"/>
        <v>0.4285714285714286</v>
      </c>
      <c r="Q297" s="108">
        <f t="shared" si="606"/>
        <v>0.40287769784172656</v>
      </c>
      <c r="R297" s="108">
        <f t="shared" si="606"/>
        <v>0.36842105263157898</v>
      </c>
      <c r="S297" s="108">
        <f t="shared" si="606"/>
        <v>0.34161490683229823</v>
      </c>
      <c r="T297" s="108">
        <f t="shared" si="606"/>
        <v>0.29444444444444451</v>
      </c>
      <c r="U297" s="108">
        <f t="shared" si="606"/>
        <v>0.25128205128205128</v>
      </c>
      <c r="V297" s="108">
        <f t="shared" si="606"/>
        <v>0.23076923076923084</v>
      </c>
      <c r="W297" s="108">
        <f t="shared" si="606"/>
        <v>0.21759259259259256</v>
      </c>
      <c r="X297" s="108">
        <f t="shared" si="606"/>
        <v>0.20171673819742497</v>
      </c>
      <c r="Y297" s="108">
        <f t="shared" si="606"/>
        <v>0.19467213114754101</v>
      </c>
      <c r="Z297" s="108">
        <f t="shared" si="606"/>
        <v>0.203125</v>
      </c>
      <c r="AA297" s="108">
        <f t="shared" si="606"/>
        <v>0.21292775665399244</v>
      </c>
      <c r="AB297" s="108">
        <f t="shared" si="606"/>
        <v>0.21339285714285716</v>
      </c>
      <c r="AC297" s="108">
        <f t="shared" si="606"/>
        <v>0.21783876500857624</v>
      </c>
      <c r="AD297" s="108">
        <f t="shared" si="606"/>
        <v>0.22402597402597402</v>
      </c>
      <c r="AE297" s="108">
        <f t="shared" si="606"/>
        <v>0.21630094043887138</v>
      </c>
      <c r="AF297" s="108">
        <f t="shared" si="606"/>
        <v>0.20088300220750543</v>
      </c>
      <c r="AG297" s="108">
        <f t="shared" si="606"/>
        <v>0.18028169014084505</v>
      </c>
      <c r="AH297" s="108">
        <f t="shared" si="606"/>
        <v>0.14854111405835546</v>
      </c>
      <c r="AI297" s="108">
        <f t="shared" si="606"/>
        <v>0.13659793814432986</v>
      </c>
      <c r="AJ297" s="108">
        <f t="shared" si="606"/>
        <v>0.11029411764705888</v>
      </c>
      <c r="AK297" s="108">
        <f t="shared" si="606"/>
        <v>0.10023866348448696</v>
      </c>
      <c r="AL297" s="108">
        <f t="shared" si="606"/>
        <v>8.5450346420323342E-2</v>
      </c>
      <c r="AM297" s="108">
        <f t="shared" si="606"/>
        <v>8.3900226757369634E-2</v>
      </c>
      <c r="AN297" s="108">
        <f t="shared" si="606"/>
        <v>8.1677704194260459E-2</v>
      </c>
      <c r="AO297" s="108">
        <f t="shared" si="606"/>
        <v>8.2429501084598789E-2</v>
      </c>
      <c r="AP297" s="108">
        <f t="shared" si="606"/>
        <v>0.10425531914893615</v>
      </c>
      <c r="AQ297" s="108">
        <f t="shared" si="606"/>
        <v>0.11297071129707104</v>
      </c>
      <c r="AR297" s="108">
        <f t="shared" si="606"/>
        <v>0.13469387755102047</v>
      </c>
      <c r="AS297" s="108">
        <f t="shared" si="606"/>
        <v>0.16833667334669333</v>
      </c>
      <c r="AT297" s="108">
        <f t="shared" si="606"/>
        <v>0.1425818882466281</v>
      </c>
      <c r="AU297" s="108">
        <f t="shared" si="606"/>
        <v>0.12406015037593976</v>
      </c>
      <c r="AV297" s="108">
        <f t="shared" si="606"/>
        <v>0.10251798561151082</v>
      </c>
      <c r="AW297" s="108">
        <f t="shared" si="606"/>
        <v>6.0034305317324232E-2</v>
      </c>
      <c r="AX297" s="108">
        <f t="shared" si="606"/>
        <v>4.8903878583473892E-2</v>
      </c>
      <c r="AY297" s="108">
        <f t="shared" si="606"/>
        <v>3.5117056856187379E-2</v>
      </c>
      <c r="AZ297" s="108">
        <f t="shared" si="606"/>
        <v>2.610114192495927E-2</v>
      </c>
      <c r="BA297" s="108">
        <f t="shared" si="606"/>
        <v>2.1035598705501535E-2</v>
      </c>
      <c r="BB297" s="108">
        <f t="shared" si="606"/>
        <v>2.5723472668810254E-2</v>
      </c>
      <c r="BC297" s="108">
        <f t="shared" si="606"/>
        <v>3.8772213247172838E-2</v>
      </c>
      <c r="BD297" s="108">
        <f t="shared" si="606"/>
        <v>4.4515103338632844E-2</v>
      </c>
      <c r="BE297" s="108">
        <f t="shared" si="606"/>
        <v>5.3882725832012701E-2</v>
      </c>
      <c r="BF297" s="108">
        <f t="shared" si="606"/>
        <v>5.9561128526645746E-2</v>
      </c>
      <c r="BG297" s="108">
        <f t="shared" si="606"/>
        <v>6.2208398133748011E-2</v>
      </c>
      <c r="BH297" s="134" t="str">
        <f t="shared" si="608"/>
        <v>n/a</v>
      </c>
      <c r="BI297" s="134" t="str">
        <f t="shared" si="608"/>
        <v>n/a</v>
      </c>
      <c r="BJ297" s="134" t="str">
        <f t="shared" si="608"/>
        <v>n/a</v>
      </c>
      <c r="BK297" s="108"/>
      <c r="BL297" s="108"/>
      <c r="BM297" s="108"/>
      <c r="BN297" s="108"/>
      <c r="BO297" s="108"/>
      <c r="BP297" s="108"/>
      <c r="BQ297" s="108"/>
      <c r="BR297" s="108"/>
      <c r="BS297" s="108"/>
      <c r="BT297" s="108">
        <f t="shared" si="609"/>
        <v>0.96551724137931028</v>
      </c>
      <c r="BU297" s="108">
        <f t="shared" si="609"/>
        <v>0.91228070175438591</v>
      </c>
      <c r="BV297" s="108">
        <f t="shared" si="609"/>
        <v>0.47706422018348627</v>
      </c>
      <c r="BW297" s="108">
        <f t="shared" si="609"/>
        <v>0.29192546583850931</v>
      </c>
      <c r="BX297" s="108">
        <f t="shared" si="609"/>
        <v>0.26442307692307687</v>
      </c>
      <c r="BY297" s="108">
        <f t="shared" si="609"/>
        <v>0.21292775665399244</v>
      </c>
      <c r="BZ297" s="108">
        <f t="shared" si="609"/>
        <v>0.21630094043887138</v>
      </c>
      <c r="CA297" s="108">
        <f t="shared" si="609"/>
        <v>0.13659793814432986</v>
      </c>
      <c r="CB297" s="108">
        <f t="shared" si="609"/>
        <v>8.3900226757369634E-2</v>
      </c>
      <c r="CC297" s="108">
        <f t="shared" si="609"/>
        <v>0.11297071129707104</v>
      </c>
      <c r="CD297" s="108">
        <f t="shared" si="609"/>
        <v>0.12406015037593976</v>
      </c>
      <c r="CE297" s="108">
        <f t="shared" si="609"/>
        <v>3.5117056856187379E-2</v>
      </c>
      <c r="CF297" s="108">
        <f t="shared" si="609"/>
        <v>3.8772213247172838E-2</v>
      </c>
      <c r="CG297" s="108">
        <f t="shared" si="609"/>
        <v>6.2208398133748011E-2</v>
      </c>
      <c r="CH297" s="108"/>
      <c r="CI297" s="108"/>
    </row>
    <row r="298" spans="2:87" s="76" customFormat="1" x14ac:dyDescent="0.2">
      <c r="B298" s="101" t="s">
        <v>259</v>
      </c>
      <c r="D298" s="57"/>
      <c r="E298" s="57"/>
      <c r="F298" s="57"/>
      <c r="G298" s="57"/>
      <c r="H298" s="106">
        <f>+H291/D291-1</f>
        <v>0.58974358974358965</v>
      </c>
      <c r="I298" s="106">
        <f t="shared" si="606"/>
        <v>0.62256809338521402</v>
      </c>
      <c r="J298" s="106">
        <f t="shared" si="606"/>
        <v>0.55972696245733777</v>
      </c>
      <c r="K298" s="106">
        <f t="shared" si="606"/>
        <v>0.47706422018348627</v>
      </c>
      <c r="L298" s="106">
        <f t="shared" si="606"/>
        <v>0.41397849462365599</v>
      </c>
      <c r="M298" s="106">
        <f t="shared" si="606"/>
        <v>0.32374100719424459</v>
      </c>
      <c r="N298" s="106">
        <f t="shared" si="606"/>
        <v>0.28008752735229758</v>
      </c>
      <c r="O298" s="106">
        <f t="shared" si="606"/>
        <v>0.27950310559006208</v>
      </c>
      <c r="P298" s="106">
        <f t="shared" si="606"/>
        <v>0.26425855513307983</v>
      </c>
      <c r="Q298" s="106">
        <f t="shared" si="606"/>
        <v>0.26811594202898559</v>
      </c>
      <c r="R298" s="106">
        <f t="shared" si="606"/>
        <v>0.24615384615384617</v>
      </c>
      <c r="S298" s="106">
        <f t="shared" si="606"/>
        <v>0.22653721682847894</v>
      </c>
      <c r="T298" s="106">
        <f t="shared" si="606"/>
        <v>0.20601503759398487</v>
      </c>
      <c r="U298" s="106">
        <f t="shared" si="606"/>
        <v>0.18571428571428572</v>
      </c>
      <c r="V298" s="106">
        <f t="shared" si="606"/>
        <v>0.18655692729766793</v>
      </c>
      <c r="W298" s="106">
        <f t="shared" si="606"/>
        <v>0.17414248021108181</v>
      </c>
      <c r="X298" s="106">
        <f t="shared" si="606"/>
        <v>0.16708229426433907</v>
      </c>
      <c r="Y298" s="106">
        <f t="shared" si="606"/>
        <v>0.16626506024096388</v>
      </c>
      <c r="Z298" s="106">
        <f t="shared" si="606"/>
        <v>0.16531791907514459</v>
      </c>
      <c r="AA298" s="106">
        <f t="shared" si="606"/>
        <v>0.16516853932584263</v>
      </c>
      <c r="AB298" s="106">
        <f t="shared" si="606"/>
        <v>0.16452991452991461</v>
      </c>
      <c r="AC298" s="106">
        <f t="shared" si="606"/>
        <v>0.165289256198347</v>
      </c>
      <c r="AD298" s="106">
        <f t="shared" si="606"/>
        <v>0.16964285714285721</v>
      </c>
      <c r="AE298" s="106">
        <f t="shared" si="606"/>
        <v>0.18225650916104152</v>
      </c>
      <c r="AF298" s="106">
        <f t="shared" si="606"/>
        <v>0.17798165137614674</v>
      </c>
      <c r="AG298" s="106">
        <f t="shared" si="606"/>
        <v>0.17553191489361697</v>
      </c>
      <c r="AH298" s="106">
        <f t="shared" si="606"/>
        <v>0.16030534351145032</v>
      </c>
      <c r="AI298" s="106">
        <f t="shared" si="606"/>
        <v>0.14274061990212061</v>
      </c>
      <c r="AJ298" s="106">
        <f t="shared" si="606"/>
        <v>0.12850467289719636</v>
      </c>
      <c r="AK298" s="106">
        <f t="shared" si="606"/>
        <v>0.1093514328808447</v>
      </c>
      <c r="AL298" s="106">
        <f t="shared" si="606"/>
        <v>9.210526315789469E-2</v>
      </c>
      <c r="AM298" s="106">
        <f t="shared" si="606"/>
        <v>8.7080656673804491E-2</v>
      </c>
      <c r="AN298" s="106">
        <f t="shared" si="606"/>
        <v>7.7984817115251959E-2</v>
      </c>
      <c r="AO298" s="106">
        <f t="shared" si="606"/>
        <v>7.8857919782460817E-2</v>
      </c>
      <c r="AP298" s="106">
        <f t="shared" si="606"/>
        <v>8.6345381526104381E-2</v>
      </c>
      <c r="AQ298" s="106">
        <f t="shared" si="606"/>
        <v>8.7984241628365156E-2</v>
      </c>
      <c r="AR298" s="106">
        <f t="shared" si="606"/>
        <v>0.11011523687580027</v>
      </c>
      <c r="AS298" s="106">
        <f t="shared" si="606"/>
        <v>0.12476370510396984</v>
      </c>
      <c r="AT298" s="106">
        <f t="shared" si="606"/>
        <v>0.12199630314232901</v>
      </c>
      <c r="AU298" s="106">
        <f t="shared" si="606"/>
        <v>0.11345805672902842</v>
      </c>
      <c r="AV298" s="106">
        <f t="shared" si="606"/>
        <v>8.2468281430219115E-2</v>
      </c>
      <c r="AW298" s="106">
        <f t="shared" si="606"/>
        <v>6.8907563025210061E-2</v>
      </c>
      <c r="AX298" s="106">
        <f t="shared" si="606"/>
        <v>6.0406370126304232E-2</v>
      </c>
      <c r="AY298" s="106">
        <f t="shared" si="606"/>
        <v>4.5528455284552738E-2</v>
      </c>
      <c r="AZ298" s="106">
        <f t="shared" si="606"/>
        <v>4.3686734150239825E-2</v>
      </c>
      <c r="BA298" s="106">
        <f t="shared" si="606"/>
        <v>3.0922431865828104E-2</v>
      </c>
      <c r="BB298" s="106">
        <f t="shared" si="606"/>
        <v>2.6929052304505374E-2</v>
      </c>
      <c r="BC298" s="106">
        <f t="shared" si="606"/>
        <v>3.680663556246766E-2</v>
      </c>
      <c r="BD298" s="106">
        <f t="shared" si="606"/>
        <v>3.9816232771822335E-2</v>
      </c>
      <c r="BE298" s="106">
        <f t="shared" si="606"/>
        <v>4.9822064056939563E-2</v>
      </c>
      <c r="BF298" s="106">
        <f t="shared" si="606"/>
        <v>5.1437216338880543E-2</v>
      </c>
      <c r="BG298" s="106">
        <f t="shared" si="606"/>
        <v>5.4999999999999938E-2</v>
      </c>
      <c r="BH298" s="164" t="str">
        <f t="shared" si="608"/>
        <v>n/a</v>
      </c>
      <c r="BI298" s="164" t="str">
        <f t="shared" si="608"/>
        <v>n/a</v>
      </c>
      <c r="BJ298" s="164" t="str">
        <f t="shared" si="608"/>
        <v>n/a</v>
      </c>
      <c r="BK298" s="106"/>
      <c r="BL298" s="106"/>
      <c r="BM298" s="106"/>
      <c r="BN298" s="106"/>
      <c r="BO298" s="106"/>
      <c r="BP298" s="106"/>
      <c r="BQ298" s="106"/>
      <c r="BR298" s="106"/>
      <c r="BS298" s="106"/>
      <c r="BT298" s="106">
        <f t="shared" si="609"/>
        <v>0.7675675675675675</v>
      </c>
      <c r="BU298" s="106">
        <f t="shared" si="609"/>
        <v>0.47706422018348627</v>
      </c>
      <c r="BV298" s="106">
        <f t="shared" si="609"/>
        <v>0.27950310559006208</v>
      </c>
      <c r="BW298" s="106">
        <f t="shared" si="609"/>
        <v>0.17961165048543681</v>
      </c>
      <c r="BX298" s="106">
        <f t="shared" si="609"/>
        <v>0.22085048010973929</v>
      </c>
      <c r="BY298" s="106">
        <f t="shared" si="609"/>
        <v>0.16516853932584263</v>
      </c>
      <c r="BZ298" s="106">
        <f t="shared" si="609"/>
        <v>0.18225650916104152</v>
      </c>
      <c r="CA298" s="106">
        <f t="shared" si="609"/>
        <v>0.14274061990212061</v>
      </c>
      <c r="CB298" s="106">
        <f t="shared" si="609"/>
        <v>8.7080656673804491E-2</v>
      </c>
      <c r="CC298" s="106">
        <f t="shared" si="609"/>
        <v>8.7984241628365156E-2</v>
      </c>
      <c r="CD298" s="106">
        <f t="shared" si="609"/>
        <v>0.11345805672902842</v>
      </c>
      <c r="CE298" s="106">
        <f t="shared" si="609"/>
        <v>4.5528455284552738E-2</v>
      </c>
      <c r="CF298" s="106">
        <f t="shared" si="609"/>
        <v>3.680663556246766E-2</v>
      </c>
      <c r="CG298" s="106">
        <f t="shared" si="609"/>
        <v>5.4999999999999938E-2</v>
      </c>
      <c r="CH298" s="106"/>
      <c r="CI298" s="106"/>
    </row>
    <row r="299" spans="2:87" x14ac:dyDescent="0.2">
      <c r="AK299" s="123" t="s">
        <v>219</v>
      </c>
      <c r="AL299" s="106">
        <f>+AL292/AH291-1</f>
        <v>0.10380116959064334</v>
      </c>
    </row>
    <row r="300" spans="2:87" x14ac:dyDescent="0.2">
      <c r="B300" s="62" t="s">
        <v>257</v>
      </c>
    </row>
    <row r="301" spans="2:87" s="76" customFormat="1" x14ac:dyDescent="0.2">
      <c r="B301" s="60" t="s">
        <v>214</v>
      </c>
      <c r="E301" s="106">
        <f>+E287/D287-1</f>
        <v>3.6585365853658569E-2</v>
      </c>
      <c r="F301" s="106">
        <f t="shared" ref="F301:BG305" si="610">+F287/E287-1</f>
        <v>8.2352941176470518E-2</v>
      </c>
      <c r="G301" s="106">
        <f t="shared" si="610"/>
        <v>7.6086956521739024E-2</v>
      </c>
      <c r="H301" s="106">
        <f t="shared" si="610"/>
        <v>6.0606060606060552E-2</v>
      </c>
      <c r="I301" s="106">
        <f t="shared" si="610"/>
        <v>0.11428571428571432</v>
      </c>
      <c r="J301" s="106">
        <f t="shared" si="610"/>
        <v>5.9829059829059839E-2</v>
      </c>
      <c r="K301" s="106">
        <f t="shared" si="610"/>
        <v>1.6129032258064502E-2</v>
      </c>
      <c r="L301" s="106">
        <f t="shared" si="610"/>
        <v>2.3809523809523725E-2</v>
      </c>
      <c r="M301" s="106">
        <f t="shared" si="610"/>
        <v>7.7519379844961378E-3</v>
      </c>
      <c r="N301" s="106">
        <f t="shared" si="610"/>
        <v>1.538461538461533E-2</v>
      </c>
      <c r="O301" s="106">
        <f t="shared" si="610"/>
        <v>2.2727272727272707E-2</v>
      </c>
      <c r="P301" s="106">
        <f t="shared" si="610"/>
        <v>2.9629629629629672E-2</v>
      </c>
      <c r="Q301" s="106">
        <f t="shared" si="610"/>
        <v>2.1582733812949728E-2</v>
      </c>
      <c r="R301" s="106">
        <f t="shared" si="610"/>
        <v>1.4084507042253502E-2</v>
      </c>
      <c r="S301" s="106">
        <f t="shared" si="610"/>
        <v>2.0833333333333259E-2</v>
      </c>
      <c r="T301" s="106">
        <f t="shared" si="610"/>
        <v>2.0408163265306145E-2</v>
      </c>
      <c r="U301" s="106">
        <f t="shared" si="610"/>
        <v>1.3333333333333419E-2</v>
      </c>
      <c r="V301" s="106">
        <f t="shared" si="610"/>
        <v>1.9736842105263053E-2</v>
      </c>
      <c r="W301" s="106">
        <f t="shared" si="610"/>
        <v>1.2903225806451646E-2</v>
      </c>
      <c r="X301" s="106">
        <f t="shared" si="610"/>
        <v>2.5477707006369421E-2</v>
      </c>
      <c r="Y301" s="106">
        <f t="shared" si="610"/>
        <v>1.8633540372670732E-2</v>
      </c>
      <c r="Z301" s="106">
        <f t="shared" si="610"/>
        <v>1.8292682926829285E-2</v>
      </c>
      <c r="AA301" s="106">
        <f t="shared" si="610"/>
        <v>1.1976047904191711E-2</v>
      </c>
      <c r="AB301" s="106">
        <f t="shared" si="610"/>
        <v>2.2189349112426093E-2</v>
      </c>
      <c r="AC301" s="106">
        <f t="shared" si="610"/>
        <v>1.3024602026049159E-2</v>
      </c>
      <c r="AD301" s="106">
        <f t="shared" si="610"/>
        <v>1.7142857142857126E-2</v>
      </c>
      <c r="AE301" s="106">
        <f t="shared" si="610"/>
        <v>1.1235955056179803E-2</v>
      </c>
      <c r="AF301" s="106">
        <f t="shared" si="610"/>
        <v>1.1111111111111072E-2</v>
      </c>
      <c r="AG301" s="106">
        <f t="shared" si="610"/>
        <v>5.494505494505475E-3</v>
      </c>
      <c r="AH301" s="106">
        <f t="shared" si="610"/>
        <v>1.0928961748633892E-2</v>
      </c>
      <c r="AI301" s="106">
        <f t="shared" si="610"/>
        <v>-5.4054054054053502E-3</v>
      </c>
      <c r="AJ301" s="106">
        <f t="shared" si="610"/>
        <v>5.4347826086955653E-3</v>
      </c>
      <c r="AK301" s="106">
        <f t="shared" si="610"/>
        <v>0</v>
      </c>
      <c r="AL301" s="106">
        <f t="shared" si="610"/>
        <v>0</v>
      </c>
      <c r="AM301" s="106">
        <f t="shared" si="610"/>
        <v>5.4054054054053502E-3</v>
      </c>
      <c r="AN301" s="106">
        <f t="shared" si="610"/>
        <v>0</v>
      </c>
      <c r="AO301" s="106">
        <f t="shared" si="610"/>
        <v>5.3763440860215006E-3</v>
      </c>
      <c r="AP301" s="106">
        <f t="shared" si="610"/>
        <v>1.0695187165775444E-2</v>
      </c>
      <c r="AQ301" s="106">
        <f t="shared" si="610"/>
        <v>5.2910052910053462E-3</v>
      </c>
      <c r="AR301" s="106">
        <f t="shared" si="610"/>
        <v>2.6315789473684292E-2</v>
      </c>
      <c r="AS301" s="106">
        <f t="shared" si="610"/>
        <v>1.538461538461533E-2</v>
      </c>
      <c r="AT301" s="106">
        <f t="shared" si="610"/>
        <v>-1.0101010101010055E-2</v>
      </c>
      <c r="AU301" s="106">
        <f t="shared" si="610"/>
        <v>-5.1020408163264808E-3</v>
      </c>
      <c r="AV301" s="106">
        <f t="shared" si="610"/>
        <v>0</v>
      </c>
      <c r="AW301" s="106">
        <f t="shared" si="610"/>
        <v>0</v>
      </c>
      <c r="AX301" s="106">
        <f t="shared" si="610"/>
        <v>5.12820512820511E-3</v>
      </c>
      <c r="AY301" s="106">
        <f t="shared" si="610"/>
        <v>-5.1020408163264808E-3</v>
      </c>
      <c r="AZ301" s="106">
        <f t="shared" si="610"/>
        <v>5.12820512820511E-3</v>
      </c>
      <c r="BA301" s="106">
        <f t="shared" si="610"/>
        <v>5.1020408163264808E-3</v>
      </c>
      <c r="BB301" s="106">
        <f t="shared" si="610"/>
        <v>0</v>
      </c>
      <c r="BC301" s="106">
        <f t="shared" si="610"/>
        <v>1.0152284263959421E-2</v>
      </c>
      <c r="BD301" s="106">
        <f t="shared" si="610"/>
        <v>5.0251256281406143E-3</v>
      </c>
      <c r="BE301" s="106">
        <f t="shared" si="610"/>
        <v>1.0000000000000009E-2</v>
      </c>
      <c r="BF301" s="106">
        <f t="shared" si="610"/>
        <v>4.9504950495049549E-3</v>
      </c>
      <c r="BG301" s="106">
        <f t="shared" si="610"/>
        <v>9.8522167487684609E-3</v>
      </c>
      <c r="BH301" s="164" t="str">
        <f>+IFERROR(BH287/BG287-1,"n/a")</f>
        <v>n/a</v>
      </c>
      <c r="BI301" s="164" t="str">
        <f>+IFERROR(BI287/BH287-1,"n/a")</f>
        <v>n/a</v>
      </c>
      <c r="BJ301" s="164" t="str">
        <f>+IFERROR(BJ287/BI287-1,"n/a")</f>
        <v>n/a</v>
      </c>
      <c r="BK301" s="106"/>
      <c r="BL301" s="106"/>
      <c r="BM301" s="106"/>
      <c r="BN301" s="106"/>
      <c r="BO301" s="106"/>
    </row>
    <row r="302" spans="2:87" s="76" customFormat="1" x14ac:dyDescent="0.2">
      <c r="B302" s="60" t="s">
        <v>215</v>
      </c>
      <c r="E302" s="106">
        <f>+E288/D288-1</f>
        <v>7.5949367088607556E-2</v>
      </c>
      <c r="F302" s="106">
        <f t="shared" ref="F302:T302" si="611">+F288/E288-1</f>
        <v>0.10588235294117654</v>
      </c>
      <c r="G302" s="106">
        <f t="shared" si="611"/>
        <v>0.13829787234042556</v>
      </c>
      <c r="H302" s="106">
        <f t="shared" si="611"/>
        <v>0.12149532710280364</v>
      </c>
      <c r="I302" s="106">
        <f t="shared" si="611"/>
        <v>5.8333333333333348E-2</v>
      </c>
      <c r="J302" s="106">
        <f t="shared" si="611"/>
        <v>6.2992125984252079E-2</v>
      </c>
      <c r="K302" s="106">
        <f t="shared" si="611"/>
        <v>5.9259259259259345E-2</v>
      </c>
      <c r="L302" s="106">
        <f t="shared" si="611"/>
        <v>6.2937062937062915E-2</v>
      </c>
      <c r="M302" s="106">
        <f t="shared" si="611"/>
        <v>1.3157894736842035E-2</v>
      </c>
      <c r="N302" s="106">
        <f t="shared" si="611"/>
        <v>3.8961038961038863E-2</v>
      </c>
      <c r="O302" s="106">
        <f t="shared" si="611"/>
        <v>5.6249999999999911E-2</v>
      </c>
      <c r="P302" s="106">
        <f t="shared" si="611"/>
        <v>5.9171597633136175E-2</v>
      </c>
      <c r="Q302" s="106">
        <f t="shared" si="611"/>
        <v>1.6759776536312776E-2</v>
      </c>
      <c r="R302" s="106">
        <f t="shared" si="611"/>
        <v>3.2967032967033072E-2</v>
      </c>
      <c r="S302" s="106">
        <f t="shared" si="611"/>
        <v>3.7234042553191404E-2</v>
      </c>
      <c r="T302" s="106">
        <f t="shared" si="611"/>
        <v>4.1025641025641102E-2</v>
      </c>
      <c r="U302" s="106">
        <f t="shared" si="610"/>
        <v>1.4778325123152802E-2</v>
      </c>
      <c r="V302" s="106">
        <f t="shared" si="610"/>
        <v>2.9126213592232997E-2</v>
      </c>
      <c r="W302" s="106">
        <f t="shared" si="610"/>
        <v>2.3584905660377409E-2</v>
      </c>
      <c r="X302" s="106">
        <f t="shared" si="610"/>
        <v>3.6866359447004671E-2</v>
      </c>
      <c r="Y302" s="106">
        <f t="shared" si="610"/>
        <v>1.3333333333333419E-2</v>
      </c>
      <c r="Z302" s="106">
        <f t="shared" si="610"/>
        <v>2.1929824561403466E-2</v>
      </c>
      <c r="AA302" s="106">
        <f t="shared" si="610"/>
        <v>3.0042918454935563E-2</v>
      </c>
      <c r="AB302" s="106">
        <f t="shared" si="610"/>
        <v>3.6458333333333259E-2</v>
      </c>
      <c r="AC302" s="106">
        <f t="shared" si="610"/>
        <v>1.306532663316573E-2</v>
      </c>
      <c r="AD302" s="106">
        <f t="shared" si="610"/>
        <v>1.5873015873015817E-2</v>
      </c>
      <c r="AE302" s="106">
        <f t="shared" si="610"/>
        <v>2.34375E-2</v>
      </c>
      <c r="AF302" s="106">
        <f t="shared" si="610"/>
        <v>1.9083969465648831E-2</v>
      </c>
      <c r="AG302" s="106">
        <f t="shared" si="610"/>
        <v>1.4981273408239737E-2</v>
      </c>
      <c r="AH302" s="106">
        <f t="shared" si="610"/>
        <v>1.1070110701107083E-2</v>
      </c>
      <c r="AI302" s="106">
        <f t="shared" si="610"/>
        <v>1.0948905109489093E-2</v>
      </c>
      <c r="AJ302" s="106">
        <f t="shared" si="610"/>
        <v>1.8050541516245522E-2</v>
      </c>
      <c r="AK302" s="106">
        <f t="shared" si="610"/>
        <v>-1.0638297872340385E-2</v>
      </c>
      <c r="AL302" s="106">
        <f t="shared" si="610"/>
        <v>-3.5842293906810374E-3</v>
      </c>
      <c r="AM302" s="106">
        <f t="shared" si="610"/>
        <v>1.4388489208633004E-2</v>
      </c>
      <c r="AN302" s="106">
        <f t="shared" si="610"/>
        <v>1.4184397163120588E-2</v>
      </c>
      <c r="AO302" s="106">
        <f t="shared" si="610"/>
        <v>0</v>
      </c>
      <c r="AP302" s="106">
        <f t="shared" si="610"/>
        <v>6.9930069930070893E-3</v>
      </c>
      <c r="AQ302" s="106">
        <f t="shared" si="610"/>
        <v>2.0833333333333259E-2</v>
      </c>
      <c r="AR302" s="106">
        <f t="shared" si="610"/>
        <v>3.7414965986394488E-2</v>
      </c>
      <c r="AS302" s="106">
        <f t="shared" si="610"/>
        <v>0</v>
      </c>
      <c r="AT302" s="106">
        <f t="shared" si="610"/>
        <v>0</v>
      </c>
      <c r="AU302" s="106">
        <f t="shared" si="610"/>
        <v>9.8360655737705915E-3</v>
      </c>
      <c r="AV302" s="106">
        <f t="shared" si="610"/>
        <v>3.2467532467532756E-3</v>
      </c>
      <c r="AW302" s="106">
        <f t="shared" si="610"/>
        <v>-6.4724919093851474E-3</v>
      </c>
      <c r="AX302" s="106">
        <f t="shared" si="610"/>
        <v>3.2573289902280145E-3</v>
      </c>
      <c r="AY302" s="106">
        <f t="shared" si="610"/>
        <v>3.2467532467532756E-3</v>
      </c>
      <c r="AZ302" s="106">
        <f t="shared" si="610"/>
        <v>-6.4724919093851474E-3</v>
      </c>
      <c r="BA302" s="106">
        <f t="shared" si="610"/>
        <v>-1.3029315960912058E-2</v>
      </c>
      <c r="BB302" s="106">
        <f t="shared" si="610"/>
        <v>0</v>
      </c>
      <c r="BC302" s="106">
        <f t="shared" si="610"/>
        <v>3.3003300330032292E-3</v>
      </c>
      <c r="BD302" s="106">
        <f t="shared" si="610"/>
        <v>9.8684210526316374E-3</v>
      </c>
      <c r="BE302" s="106">
        <f t="shared" si="610"/>
        <v>0</v>
      </c>
      <c r="BF302" s="106">
        <f t="shared" si="610"/>
        <v>0</v>
      </c>
      <c r="BG302" s="106">
        <f t="shared" si="610"/>
        <v>3.2573289902280145E-3</v>
      </c>
      <c r="BH302" s="164" t="str">
        <f t="shared" ref="BH302:BJ305" si="612">+IFERROR(BH288/BG288-1,"n/a")</f>
        <v>n/a</v>
      </c>
      <c r="BI302" s="164" t="str">
        <f t="shared" si="612"/>
        <v>n/a</v>
      </c>
      <c r="BJ302" s="164" t="str">
        <f t="shared" si="612"/>
        <v>n/a</v>
      </c>
      <c r="BK302" s="106"/>
      <c r="BL302" s="106"/>
      <c r="BM302" s="106"/>
      <c r="BN302" s="106"/>
      <c r="BO302" s="106"/>
    </row>
    <row r="303" spans="2:87" s="76" customFormat="1" x14ac:dyDescent="0.2">
      <c r="B303" s="60" t="s">
        <v>216</v>
      </c>
      <c r="E303" s="106">
        <f>+E289/D289-1</f>
        <v>0.15384615384615374</v>
      </c>
      <c r="F303" s="106">
        <f t="shared" si="610"/>
        <v>0.19999999999999996</v>
      </c>
      <c r="G303" s="106">
        <f t="shared" si="610"/>
        <v>0.18518518518518512</v>
      </c>
      <c r="H303" s="106">
        <f t="shared" si="610"/>
        <v>0.125</v>
      </c>
      <c r="I303" s="106">
        <f t="shared" si="610"/>
        <v>0.18055555555555558</v>
      </c>
      <c r="J303" s="106">
        <f t="shared" si="610"/>
        <v>0.15294117647058814</v>
      </c>
      <c r="K303" s="106">
        <f t="shared" si="610"/>
        <v>7.1428571428571397E-2</v>
      </c>
      <c r="L303" s="106">
        <f t="shared" si="610"/>
        <v>0.1333333333333333</v>
      </c>
      <c r="M303" s="106">
        <f t="shared" si="610"/>
        <v>8.4033613445378075E-2</v>
      </c>
      <c r="N303" s="106">
        <f t="shared" si="610"/>
        <v>9.3023255813953432E-2</v>
      </c>
      <c r="O303" s="106">
        <f t="shared" si="610"/>
        <v>8.5106382978723305E-2</v>
      </c>
      <c r="P303" s="106">
        <f t="shared" si="610"/>
        <v>9.1503267973856106E-2</v>
      </c>
      <c r="Q303" s="106">
        <f t="shared" si="610"/>
        <v>8.3832335329341312E-2</v>
      </c>
      <c r="R303" s="106">
        <f t="shared" si="610"/>
        <v>4.4198895027624419E-2</v>
      </c>
      <c r="S303" s="106">
        <f t="shared" si="610"/>
        <v>5.8201058201058142E-2</v>
      </c>
      <c r="T303" s="106">
        <f t="shared" si="610"/>
        <v>8.0000000000000071E-2</v>
      </c>
      <c r="U303" s="106">
        <f t="shared" si="610"/>
        <v>5.555555555555558E-2</v>
      </c>
      <c r="V303" s="106">
        <f t="shared" si="610"/>
        <v>6.1403508771929793E-2</v>
      </c>
      <c r="W303" s="106">
        <f t="shared" si="610"/>
        <v>4.5454545454545414E-2</v>
      </c>
      <c r="X303" s="106">
        <f t="shared" si="610"/>
        <v>6.7193675889328119E-2</v>
      </c>
      <c r="Y303" s="106">
        <f t="shared" si="610"/>
        <v>5.3703703703703809E-2</v>
      </c>
      <c r="Z303" s="106">
        <f t="shared" si="610"/>
        <v>5.4481546572934914E-2</v>
      </c>
      <c r="AA303" s="106">
        <f t="shared" si="610"/>
        <v>3.0000000000000027E-2</v>
      </c>
      <c r="AB303" s="106">
        <f t="shared" si="610"/>
        <v>6.3915857605177928E-2</v>
      </c>
      <c r="AC303" s="106">
        <f t="shared" si="610"/>
        <v>5.2471482889733911E-2</v>
      </c>
      <c r="AD303" s="106">
        <f t="shared" si="610"/>
        <v>6.3583815028901647E-2</v>
      </c>
      <c r="AE303" s="106">
        <f t="shared" si="610"/>
        <v>7.6086956521739024E-2</v>
      </c>
      <c r="AF303" s="106">
        <f t="shared" si="610"/>
        <v>7.8282828282828287E-2</v>
      </c>
      <c r="AG303" s="106">
        <f t="shared" si="610"/>
        <v>6.0889929742388826E-2</v>
      </c>
      <c r="AH303" s="106">
        <f t="shared" si="610"/>
        <v>5.0772626931567366E-2</v>
      </c>
      <c r="AI303" s="106">
        <f t="shared" si="610"/>
        <v>4.8319327731092487E-2</v>
      </c>
      <c r="AJ303" s="106">
        <f t="shared" si="610"/>
        <v>6.0120240480961984E-2</v>
      </c>
      <c r="AK303" s="106">
        <f t="shared" si="610"/>
        <v>3.2136105860113506E-2</v>
      </c>
      <c r="AL303" s="106">
        <f t="shared" si="610"/>
        <v>2.7472527472527375E-2</v>
      </c>
      <c r="AM303" s="106">
        <f t="shared" si="610"/>
        <v>2.8520499108734443E-2</v>
      </c>
      <c r="AN303" s="106">
        <f t="shared" si="610"/>
        <v>3.9861351819757473E-2</v>
      </c>
      <c r="AO303" s="106">
        <f t="shared" si="610"/>
        <v>2.4999999999999911E-2</v>
      </c>
      <c r="AP303" s="106">
        <f t="shared" si="610"/>
        <v>1.9512195121951237E-2</v>
      </c>
      <c r="AQ303" s="106">
        <f t="shared" si="610"/>
        <v>2.2328548644338087E-2</v>
      </c>
      <c r="AR303" s="106">
        <f t="shared" si="610"/>
        <v>5.7722308892355745E-2</v>
      </c>
      <c r="AS303" s="106">
        <f t="shared" si="610"/>
        <v>3.0973451327433565E-2</v>
      </c>
      <c r="AT303" s="106">
        <f t="shared" si="610"/>
        <v>4.0057224606580899E-2</v>
      </c>
      <c r="AU303" s="106">
        <f t="shared" si="610"/>
        <v>2.3383768913342484E-2</v>
      </c>
      <c r="AV303" s="106">
        <f t="shared" si="610"/>
        <v>2.1505376344086002E-2</v>
      </c>
      <c r="AW303" s="106">
        <f t="shared" si="610"/>
        <v>3.6842105263157787E-2</v>
      </c>
      <c r="AX303" s="106">
        <f t="shared" si="610"/>
        <v>2.1573604060913798E-2</v>
      </c>
      <c r="AY303" s="106">
        <f t="shared" si="610"/>
        <v>1.242236024844745E-3</v>
      </c>
      <c r="AZ303" s="106">
        <f t="shared" si="610"/>
        <v>2.6054590570719682E-2</v>
      </c>
      <c r="BA303" s="106">
        <f t="shared" si="610"/>
        <v>1.0882708585247869E-2</v>
      </c>
      <c r="BB303" s="106">
        <f t="shared" si="610"/>
        <v>1.0765550239234534E-2</v>
      </c>
      <c r="BC303" s="106">
        <f t="shared" si="610"/>
        <v>1.0650887573964596E-2</v>
      </c>
      <c r="BD303" s="106">
        <f t="shared" si="610"/>
        <v>2.2248243559718883E-2</v>
      </c>
      <c r="BE303" s="106">
        <f t="shared" si="610"/>
        <v>2.0618556701030855E-2</v>
      </c>
      <c r="BF303" s="106">
        <f t="shared" si="610"/>
        <v>8.9786756453422711E-3</v>
      </c>
      <c r="BG303" s="106">
        <f t="shared" si="610"/>
        <v>1.6685205784204626E-2</v>
      </c>
      <c r="BH303" s="164" t="str">
        <f t="shared" si="612"/>
        <v>n/a</v>
      </c>
      <c r="BI303" s="164" t="str">
        <f t="shared" si="612"/>
        <v>n/a</v>
      </c>
      <c r="BJ303" s="164" t="str">
        <f t="shared" si="612"/>
        <v>n/a</v>
      </c>
      <c r="BK303" s="106"/>
      <c r="BL303" s="106"/>
      <c r="BM303" s="106"/>
      <c r="BN303" s="106"/>
      <c r="BO303" s="106"/>
    </row>
    <row r="304" spans="2:87" s="76" customFormat="1" ht="13.5" x14ac:dyDescent="0.35">
      <c r="B304" s="60" t="s">
        <v>217</v>
      </c>
      <c r="E304" s="108">
        <f>+E290/D290-1</f>
        <v>0.23529411764705888</v>
      </c>
      <c r="F304" s="108">
        <f t="shared" si="610"/>
        <v>0.26190476190476186</v>
      </c>
      <c r="G304" s="108">
        <f t="shared" si="610"/>
        <v>7.547169811320753E-2</v>
      </c>
      <c r="H304" s="108">
        <f t="shared" si="610"/>
        <v>0.31578947368421062</v>
      </c>
      <c r="I304" s="108">
        <f t="shared" si="610"/>
        <v>0.17333333333333334</v>
      </c>
      <c r="J304" s="108">
        <f t="shared" si="610"/>
        <v>0.13636363636363646</v>
      </c>
      <c r="K304" s="108">
        <f t="shared" si="610"/>
        <v>9.000000000000008E-2</v>
      </c>
      <c r="L304" s="108">
        <f t="shared" si="610"/>
        <v>0.15596330275229353</v>
      </c>
      <c r="M304" s="108">
        <f t="shared" si="610"/>
        <v>0.10317460317460325</v>
      </c>
      <c r="N304" s="108">
        <f t="shared" si="610"/>
        <v>9.3525179856115193E-2</v>
      </c>
      <c r="O304" s="108">
        <f t="shared" si="610"/>
        <v>5.921052631578938E-2</v>
      </c>
      <c r="P304" s="108">
        <f t="shared" si="610"/>
        <v>0.11801242236024834</v>
      </c>
      <c r="Q304" s="108">
        <f t="shared" si="610"/>
        <v>8.3333333333333259E-2</v>
      </c>
      <c r="R304" s="108">
        <f t="shared" si="610"/>
        <v>6.6666666666666652E-2</v>
      </c>
      <c r="S304" s="108">
        <f t="shared" si="610"/>
        <v>3.8461538461538547E-2</v>
      </c>
      <c r="T304" s="108">
        <f t="shared" si="610"/>
        <v>7.870370370370372E-2</v>
      </c>
      <c r="U304" s="108">
        <f t="shared" si="610"/>
        <v>4.7210300429184615E-2</v>
      </c>
      <c r="V304" s="108">
        <f t="shared" si="610"/>
        <v>4.9180327868852514E-2</v>
      </c>
      <c r="W304" s="108">
        <f t="shared" si="610"/>
        <v>2.734375E-2</v>
      </c>
      <c r="X304" s="108">
        <f t="shared" si="610"/>
        <v>6.4638783269961975E-2</v>
      </c>
      <c r="Y304" s="108">
        <f t="shared" si="610"/>
        <v>4.1071428571428648E-2</v>
      </c>
      <c r="Z304" s="108">
        <f t="shared" si="610"/>
        <v>5.6603773584905648E-2</v>
      </c>
      <c r="AA304" s="108">
        <f t="shared" si="610"/>
        <v>3.5714285714285809E-2</v>
      </c>
      <c r="AB304" s="108">
        <f t="shared" si="610"/>
        <v>6.5047021943573702E-2</v>
      </c>
      <c r="AC304" s="108">
        <f t="shared" si="610"/>
        <v>4.4885945548197137E-2</v>
      </c>
      <c r="AD304" s="108">
        <f t="shared" si="610"/>
        <v>6.197183098591541E-2</v>
      </c>
      <c r="AE304" s="108">
        <f t="shared" si="610"/>
        <v>2.917771883289122E-2</v>
      </c>
      <c r="AF304" s="108">
        <f t="shared" si="610"/>
        <v>5.1546391752577359E-2</v>
      </c>
      <c r="AG304" s="108">
        <f t="shared" si="610"/>
        <v>2.6960784313725394E-2</v>
      </c>
      <c r="AH304" s="108">
        <f t="shared" si="610"/>
        <v>3.3412887828162319E-2</v>
      </c>
      <c r="AI304" s="108">
        <f t="shared" si="610"/>
        <v>1.8475750577367167E-2</v>
      </c>
      <c r="AJ304" s="108">
        <f t="shared" si="610"/>
        <v>2.7210884353741527E-2</v>
      </c>
      <c r="AK304" s="108">
        <f t="shared" si="610"/>
        <v>1.7660044150110465E-2</v>
      </c>
      <c r="AL304" s="108">
        <f t="shared" si="610"/>
        <v>1.952277657266821E-2</v>
      </c>
      <c r="AM304" s="108">
        <f t="shared" si="610"/>
        <v>1.7021276595744705E-2</v>
      </c>
      <c r="AN304" s="108">
        <f t="shared" si="610"/>
        <v>2.5104602510460206E-2</v>
      </c>
      <c r="AO304" s="108">
        <f t="shared" si="610"/>
        <v>1.8367346938775508E-2</v>
      </c>
      <c r="AP304" s="108">
        <f t="shared" si="610"/>
        <v>4.0080160320641323E-2</v>
      </c>
      <c r="AQ304" s="108">
        <f t="shared" si="610"/>
        <v>2.5048169556840083E-2</v>
      </c>
      <c r="AR304" s="108">
        <f t="shared" si="610"/>
        <v>4.5112781954887327E-2</v>
      </c>
      <c r="AS304" s="108">
        <f t="shared" si="610"/>
        <v>4.8561151079136611E-2</v>
      </c>
      <c r="AT304" s="108">
        <f t="shared" si="610"/>
        <v>1.7152658662092701E-2</v>
      </c>
      <c r="AU304" s="108">
        <f t="shared" si="610"/>
        <v>8.4317032040472917E-3</v>
      </c>
      <c r="AV304" s="108">
        <f t="shared" si="610"/>
        <v>2.5083612040133874E-2</v>
      </c>
      <c r="AW304" s="108">
        <f t="shared" si="610"/>
        <v>8.1566068515497303E-3</v>
      </c>
      <c r="AX304" s="108">
        <f t="shared" si="610"/>
        <v>6.4724919093850364E-3</v>
      </c>
      <c r="AY304" s="108">
        <f t="shared" si="610"/>
        <v>-4.8231511254018811E-3</v>
      </c>
      <c r="AZ304" s="108">
        <f t="shared" si="610"/>
        <v>1.6155088852988664E-2</v>
      </c>
      <c r="BA304" s="108">
        <f t="shared" si="610"/>
        <v>3.1796502384737746E-3</v>
      </c>
      <c r="BB304" s="108">
        <f t="shared" si="610"/>
        <v>1.1093502377178988E-2</v>
      </c>
      <c r="BC304" s="108">
        <f t="shared" si="610"/>
        <v>7.8369905956112706E-3</v>
      </c>
      <c r="BD304" s="108">
        <f t="shared" si="610"/>
        <v>2.1772939346811793E-2</v>
      </c>
      <c r="BE304" s="108">
        <f t="shared" si="610"/>
        <v>1.2176560121765601E-2</v>
      </c>
      <c r="BF304" s="108">
        <f t="shared" si="610"/>
        <v>1.6541353383458635E-2</v>
      </c>
      <c r="BG304" s="108">
        <f t="shared" si="610"/>
        <v>1.0355029585798814E-2</v>
      </c>
      <c r="BH304" s="134" t="str">
        <f t="shared" si="612"/>
        <v>n/a</v>
      </c>
      <c r="BI304" s="134" t="str">
        <f t="shared" si="612"/>
        <v>n/a</v>
      </c>
      <c r="BJ304" s="134" t="str">
        <f t="shared" si="612"/>
        <v>n/a</v>
      </c>
      <c r="BK304" s="108"/>
      <c r="BL304" s="108"/>
      <c r="BM304" s="108"/>
      <c r="BN304" s="108"/>
      <c r="BO304" s="108"/>
    </row>
    <row r="305" spans="2:87" s="76" customFormat="1" x14ac:dyDescent="0.2">
      <c r="B305" s="101" t="s">
        <v>259</v>
      </c>
      <c r="E305" s="106">
        <f>+E291/D291-1</f>
        <v>9.8290598290598385E-2</v>
      </c>
      <c r="F305" s="106">
        <f t="shared" si="610"/>
        <v>0.1400778210116731</v>
      </c>
      <c r="G305" s="106">
        <f t="shared" si="610"/>
        <v>0.11604095563139927</v>
      </c>
      <c r="H305" s="106">
        <f t="shared" si="610"/>
        <v>0.13761467889908263</v>
      </c>
      <c r="I305" s="106">
        <f t="shared" si="610"/>
        <v>0.12096774193548376</v>
      </c>
      <c r="J305" s="106">
        <f t="shared" si="610"/>
        <v>9.592326139088736E-2</v>
      </c>
      <c r="K305" s="106">
        <f t="shared" si="610"/>
        <v>5.6892778993435478E-2</v>
      </c>
      <c r="L305" s="106">
        <f t="shared" si="610"/>
        <v>8.9026915113871619E-2</v>
      </c>
      <c r="M305" s="106">
        <f t="shared" si="610"/>
        <v>4.9429657794676896E-2</v>
      </c>
      <c r="N305" s="106">
        <f t="shared" si="610"/>
        <v>5.9782608695652106E-2</v>
      </c>
      <c r="O305" s="106">
        <f t="shared" si="610"/>
        <v>5.6410256410256432E-2</v>
      </c>
      <c r="P305" s="106">
        <f t="shared" si="610"/>
        <v>7.6051779935275121E-2</v>
      </c>
      <c r="Q305" s="106">
        <f t="shared" si="610"/>
        <v>5.2631578947368363E-2</v>
      </c>
      <c r="R305" s="106">
        <f t="shared" si="610"/>
        <v>4.142857142857137E-2</v>
      </c>
      <c r="S305" s="106">
        <f t="shared" si="610"/>
        <v>3.9780521262002821E-2</v>
      </c>
      <c r="T305" s="106">
        <f t="shared" si="610"/>
        <v>5.8047493403693862E-2</v>
      </c>
      <c r="U305" s="106">
        <f t="shared" si="610"/>
        <v>3.4912718204488824E-2</v>
      </c>
      <c r="V305" s="106">
        <f t="shared" si="610"/>
        <v>4.2168674698795261E-2</v>
      </c>
      <c r="W305" s="106">
        <f t="shared" si="610"/>
        <v>2.8901734104046284E-2</v>
      </c>
      <c r="X305" s="106">
        <f t="shared" si="610"/>
        <v>5.1685393258426915E-2</v>
      </c>
      <c r="Y305" s="106">
        <f t="shared" si="610"/>
        <v>3.4188034188034289E-2</v>
      </c>
      <c r="Z305" s="106">
        <f t="shared" si="610"/>
        <v>4.1322314049586861E-2</v>
      </c>
      <c r="AA305" s="106">
        <f t="shared" si="610"/>
        <v>2.8769841269841168E-2</v>
      </c>
      <c r="AB305" s="106">
        <f t="shared" si="610"/>
        <v>5.1108968177434821E-2</v>
      </c>
      <c r="AC305" s="106">
        <f t="shared" si="610"/>
        <v>3.4862385321100975E-2</v>
      </c>
      <c r="AD305" s="106">
        <f t="shared" si="610"/>
        <v>4.5212765957446832E-2</v>
      </c>
      <c r="AE305" s="106">
        <f t="shared" si="610"/>
        <v>3.9864291772688798E-2</v>
      </c>
      <c r="AF305" s="106">
        <f t="shared" si="610"/>
        <v>4.7308319738988525E-2</v>
      </c>
      <c r="AG305" s="106">
        <f t="shared" si="610"/>
        <v>3.2710280373831724E-2</v>
      </c>
      <c r="AH305" s="106">
        <f t="shared" si="610"/>
        <v>3.167420814479649E-2</v>
      </c>
      <c r="AI305" s="106">
        <f t="shared" si="610"/>
        <v>2.4122807017543879E-2</v>
      </c>
      <c r="AJ305" s="106">
        <f t="shared" si="610"/>
        <v>3.426124197002145E-2</v>
      </c>
      <c r="AK305" s="106">
        <f t="shared" si="610"/>
        <v>1.5182884748102143E-2</v>
      </c>
      <c r="AL305" s="106">
        <f t="shared" si="610"/>
        <v>1.5635622025832685E-2</v>
      </c>
      <c r="AM305" s="106">
        <f t="shared" si="610"/>
        <v>1.9410977242302563E-2</v>
      </c>
      <c r="AN305" s="106">
        <f t="shared" si="610"/>
        <v>2.5607353906762942E-2</v>
      </c>
      <c r="AO305" s="106">
        <f t="shared" si="610"/>
        <v>1.6005121638924535E-2</v>
      </c>
      <c r="AP305" s="106">
        <f t="shared" si="610"/>
        <v>2.2684310018903586E-2</v>
      </c>
      <c r="AQ305" s="106">
        <f t="shared" si="610"/>
        <v>2.0948860135551417E-2</v>
      </c>
      <c r="AR305" s="106">
        <f t="shared" si="610"/>
        <v>4.6469523234761612E-2</v>
      </c>
      <c r="AS305" s="106">
        <f t="shared" si="610"/>
        <v>2.9411764705882248E-2</v>
      </c>
      <c r="AT305" s="106">
        <f t="shared" si="610"/>
        <v>2.0168067226890685E-2</v>
      </c>
      <c r="AU305" s="106">
        <f t="shared" si="610"/>
        <v>1.3179571663920919E-2</v>
      </c>
      <c r="AV305" s="106">
        <f t="shared" si="610"/>
        <v>1.7344173441734334E-2</v>
      </c>
      <c r="AW305" s="106">
        <f t="shared" si="610"/>
        <v>1.6515716568993088E-2</v>
      </c>
      <c r="AX305" s="106">
        <f t="shared" si="610"/>
        <v>1.2054507337526221E-2</v>
      </c>
      <c r="AY305" s="106">
        <f t="shared" si="610"/>
        <v>-1.0357327809424888E-3</v>
      </c>
      <c r="AZ305" s="106">
        <f t="shared" si="610"/>
        <v>1.5552099533437058E-2</v>
      </c>
      <c r="BA305" s="106">
        <f t="shared" si="610"/>
        <v>4.0837161817253165E-3</v>
      </c>
      <c r="BB305" s="106">
        <f t="shared" si="610"/>
        <v>8.1342145399085908E-3</v>
      </c>
      <c r="BC305" s="106">
        <f t="shared" si="610"/>
        <v>8.5728693898134978E-3</v>
      </c>
      <c r="BD305" s="106">
        <f t="shared" si="610"/>
        <v>1.8499999999999961E-2</v>
      </c>
      <c r="BE305" s="106">
        <f t="shared" si="610"/>
        <v>1.3745704467353903E-2</v>
      </c>
      <c r="BF305" s="106">
        <f t="shared" si="610"/>
        <v>9.6852300242131761E-3</v>
      </c>
      <c r="BG305" s="106">
        <f t="shared" si="610"/>
        <v>1.1990407673860837E-2</v>
      </c>
      <c r="BH305" s="164" t="str">
        <f t="shared" si="612"/>
        <v>n/a</v>
      </c>
      <c r="BI305" s="164" t="str">
        <f t="shared" si="612"/>
        <v>n/a</v>
      </c>
      <c r="BJ305" s="164" t="str">
        <f t="shared" si="612"/>
        <v>n/a</v>
      </c>
      <c r="BK305" s="106"/>
      <c r="BL305" s="106"/>
      <c r="BM305" s="106"/>
      <c r="BN305" s="106"/>
      <c r="BO305" s="106"/>
    </row>
    <row r="306" spans="2:87" x14ac:dyDescent="0.2">
      <c r="AK306" s="123" t="s">
        <v>219</v>
      </c>
      <c r="AL306" s="106">
        <f>+AL292/AK291-1</f>
        <v>2.651257647858607E-2</v>
      </c>
    </row>
    <row r="307" spans="2:87" x14ac:dyDescent="0.2">
      <c r="B307" s="54" t="s">
        <v>260</v>
      </c>
    </row>
    <row r="308" spans="2:87" x14ac:dyDescent="0.2">
      <c r="B308" t="s">
        <v>214</v>
      </c>
      <c r="D308" s="81">
        <v>130</v>
      </c>
      <c r="E308" s="81">
        <v>137</v>
      </c>
      <c r="F308" s="81">
        <v>144</v>
      </c>
      <c r="G308" s="81">
        <v>154</v>
      </c>
      <c r="H308" s="81">
        <v>163</v>
      </c>
      <c r="I308" s="81">
        <v>169</v>
      </c>
      <c r="J308" s="81">
        <v>176</v>
      </c>
      <c r="K308" s="81">
        <v>179</v>
      </c>
      <c r="L308" s="81">
        <v>183</v>
      </c>
      <c r="M308" s="81">
        <v>186</v>
      </c>
      <c r="N308" s="81">
        <v>189</v>
      </c>
      <c r="O308" s="81">
        <v>193</v>
      </c>
      <c r="P308" s="81">
        <v>195</v>
      </c>
      <c r="Q308" s="81">
        <v>198</v>
      </c>
      <c r="R308" s="81">
        <v>199</v>
      </c>
      <c r="S308" s="81">
        <v>201</v>
      </c>
      <c r="T308" s="81">
        <v>202</v>
      </c>
      <c r="U308" s="81">
        <v>204</v>
      </c>
      <c r="V308" s="81">
        <v>206</v>
      </c>
      <c r="W308" s="81">
        <v>208</v>
      </c>
      <c r="X308" s="81">
        <v>210</v>
      </c>
      <c r="Y308" s="81">
        <v>213</v>
      </c>
      <c r="Z308" s="81">
        <v>217</v>
      </c>
      <c r="AA308" s="81">
        <v>219</v>
      </c>
      <c r="AB308" s="81">
        <v>222</v>
      </c>
      <c r="AC308" s="81">
        <v>226</v>
      </c>
      <c r="AD308" s="81">
        <v>229</v>
      </c>
      <c r="AE308" s="81">
        <v>231</v>
      </c>
      <c r="AF308" s="81">
        <v>234</v>
      </c>
      <c r="AG308" s="81">
        <v>236</v>
      </c>
      <c r="AH308" s="81">
        <v>239</v>
      </c>
      <c r="AI308" s="81">
        <v>239</v>
      </c>
      <c r="AJ308" s="81">
        <v>241</v>
      </c>
      <c r="AK308" s="81">
        <v>241</v>
      </c>
      <c r="AL308" s="81">
        <v>242</v>
      </c>
      <c r="AM308" s="81">
        <v>242</v>
      </c>
      <c r="AN308" s="81">
        <v>243</v>
      </c>
      <c r="AO308" s="81">
        <v>244</v>
      </c>
      <c r="AP308" s="81">
        <v>247</v>
      </c>
      <c r="AQ308" s="81">
        <v>248</v>
      </c>
      <c r="AR308" s="81">
        <v>253</v>
      </c>
      <c r="AS308" s="81">
        <v>256</v>
      </c>
      <c r="AT308" s="81">
        <v>255</v>
      </c>
      <c r="AU308" s="81">
        <v>258</v>
      </c>
      <c r="AV308" s="81">
        <v>259</v>
      </c>
      <c r="AW308" s="81">
        <v>259</v>
      </c>
      <c r="AX308" s="81">
        <v>261</v>
      </c>
      <c r="AY308" s="81">
        <v>262</v>
      </c>
      <c r="AZ308" s="81">
        <v>263</v>
      </c>
      <c r="BA308" s="81">
        <v>264</v>
      </c>
      <c r="BB308" s="81">
        <v>266</v>
      </c>
      <c r="BC308" s="81">
        <v>266</v>
      </c>
      <c r="BD308" s="81">
        <v>269</v>
      </c>
      <c r="BE308" s="81">
        <v>270</v>
      </c>
      <c r="BF308" s="81">
        <v>271</v>
      </c>
      <c r="BG308" s="81">
        <v>272</v>
      </c>
      <c r="BH308" s="83" t="s">
        <v>127</v>
      </c>
      <c r="BI308" s="83" t="s">
        <v>127</v>
      </c>
      <c r="BJ308" s="83" t="s">
        <v>127</v>
      </c>
      <c r="BK308" s="81"/>
      <c r="BL308" s="81"/>
      <c r="BM308" s="81"/>
      <c r="BN308" s="81"/>
      <c r="BO308" s="81"/>
      <c r="BS308" s="81">
        <v>112</v>
      </c>
      <c r="BT308" s="80">
        <f>+G308</f>
        <v>154</v>
      </c>
      <c r="BU308" s="64">
        <f>+K308</f>
        <v>179</v>
      </c>
      <c r="BV308" s="64">
        <f>+O308</f>
        <v>193</v>
      </c>
      <c r="BW308" s="64">
        <f>+R308</f>
        <v>199</v>
      </c>
      <c r="BX308" s="64">
        <f>+W308</f>
        <v>208</v>
      </c>
      <c r="BY308" s="64">
        <f>+AA308</f>
        <v>219</v>
      </c>
      <c r="BZ308" s="64">
        <f>+AE308</f>
        <v>231</v>
      </c>
      <c r="CA308" s="64">
        <f>+AI308</f>
        <v>239</v>
      </c>
      <c r="CB308" s="64">
        <f>+AM308</f>
        <v>242</v>
      </c>
      <c r="CC308" s="64">
        <f>+AQ308</f>
        <v>248</v>
      </c>
      <c r="CD308" s="64">
        <f>+AU308</f>
        <v>258</v>
      </c>
      <c r="CE308" s="64">
        <f>+AY308</f>
        <v>262</v>
      </c>
      <c r="CF308" s="64">
        <f>+BC308</f>
        <v>266</v>
      </c>
      <c r="CG308" s="64">
        <f>+BG308</f>
        <v>272</v>
      </c>
      <c r="CH308" s="64"/>
      <c r="CI308" s="64"/>
    </row>
    <row r="309" spans="2:87" x14ac:dyDescent="0.2">
      <c r="B309" t="s">
        <v>215</v>
      </c>
      <c r="D309" s="81">
        <v>138</v>
      </c>
      <c r="E309" s="81">
        <v>151</v>
      </c>
      <c r="F309" s="81">
        <v>167</v>
      </c>
      <c r="G309" s="81">
        <v>183</v>
      </c>
      <c r="H309" s="81">
        <v>201</v>
      </c>
      <c r="I309" s="81">
        <v>212</v>
      </c>
      <c r="J309" s="81">
        <v>221</v>
      </c>
      <c r="K309" s="81">
        <v>229</v>
      </c>
      <c r="L309" s="81">
        <v>239</v>
      </c>
      <c r="M309" s="81">
        <v>246</v>
      </c>
      <c r="N309" s="81">
        <v>253</v>
      </c>
      <c r="O309" s="81">
        <v>261</v>
      </c>
      <c r="P309" s="81">
        <v>269</v>
      </c>
      <c r="Q309" s="81">
        <v>272</v>
      </c>
      <c r="R309" s="81">
        <v>276</v>
      </c>
      <c r="S309" s="81">
        <v>282</v>
      </c>
      <c r="T309" s="81">
        <v>289</v>
      </c>
      <c r="U309" s="81">
        <v>292</v>
      </c>
      <c r="V309" s="81">
        <v>296</v>
      </c>
      <c r="W309" s="81">
        <v>301</v>
      </c>
      <c r="X309" s="81">
        <v>307</v>
      </c>
      <c r="Y309" s="81">
        <v>311</v>
      </c>
      <c r="Z309" s="81">
        <v>315</v>
      </c>
      <c r="AA309" s="81">
        <v>323</v>
      </c>
      <c r="AB309" s="81">
        <v>333</v>
      </c>
      <c r="AC309" s="81">
        <v>338</v>
      </c>
      <c r="AD309" s="81">
        <v>342</v>
      </c>
      <c r="AE309" s="81">
        <v>349</v>
      </c>
      <c r="AF309" s="81">
        <v>354</v>
      </c>
      <c r="AG309" s="81">
        <v>360</v>
      </c>
      <c r="AH309" s="81">
        <v>364</v>
      </c>
      <c r="AI309" s="81">
        <v>370</v>
      </c>
      <c r="AJ309" s="81">
        <v>377</v>
      </c>
      <c r="AK309" s="81">
        <v>376</v>
      </c>
      <c r="AL309" s="81">
        <v>375</v>
      </c>
      <c r="AM309" s="81">
        <v>381</v>
      </c>
      <c r="AN309" s="81">
        <v>384</v>
      </c>
      <c r="AO309" s="81">
        <v>385</v>
      </c>
      <c r="AP309" s="81">
        <v>387</v>
      </c>
      <c r="AQ309" s="81">
        <v>394</v>
      </c>
      <c r="AR309" s="81">
        <v>406</v>
      </c>
      <c r="AS309" s="81">
        <v>410</v>
      </c>
      <c r="AT309" s="81">
        <v>413</v>
      </c>
      <c r="AU309" s="81">
        <v>419</v>
      </c>
      <c r="AV309" s="81">
        <v>423</v>
      </c>
      <c r="AW309" s="81">
        <v>420</v>
      </c>
      <c r="AX309" s="81">
        <v>423</v>
      </c>
      <c r="AY309" s="81">
        <v>427</v>
      </c>
      <c r="AZ309" s="81">
        <v>418</v>
      </c>
      <c r="BA309" s="81">
        <v>407</v>
      </c>
      <c r="BB309" s="81">
        <v>408</v>
      </c>
      <c r="BC309" s="81">
        <v>407</v>
      </c>
      <c r="BD309" s="81">
        <v>411</v>
      </c>
      <c r="BE309" s="81">
        <v>409</v>
      </c>
      <c r="BF309" s="81">
        <v>408</v>
      </c>
      <c r="BG309" s="81">
        <v>408</v>
      </c>
      <c r="BH309" s="83" t="s">
        <v>127</v>
      </c>
      <c r="BI309" s="83" t="s">
        <v>127</v>
      </c>
      <c r="BJ309" s="83" t="s">
        <v>127</v>
      </c>
      <c r="BK309" s="81"/>
      <c r="BL309" s="81"/>
      <c r="BM309" s="81"/>
      <c r="BN309" s="81"/>
      <c r="BO309" s="81"/>
      <c r="BS309" s="81">
        <v>117</v>
      </c>
      <c r="BT309" s="80">
        <f>+G309</f>
        <v>183</v>
      </c>
      <c r="BU309" s="64">
        <f>+K309</f>
        <v>229</v>
      </c>
      <c r="BV309" s="64">
        <f>+O309</f>
        <v>261</v>
      </c>
      <c r="BW309" s="64">
        <f>+R309</f>
        <v>276</v>
      </c>
      <c r="BX309" s="64">
        <f>+W309</f>
        <v>301</v>
      </c>
      <c r="BY309" s="64">
        <f>+AA309</f>
        <v>323</v>
      </c>
      <c r="BZ309" s="64">
        <f>+AE309</f>
        <v>349</v>
      </c>
      <c r="CA309" s="64">
        <f>+AI309</f>
        <v>370</v>
      </c>
      <c r="CB309" s="64">
        <f>+AM309</f>
        <v>381</v>
      </c>
      <c r="CC309" s="64">
        <f>+AQ309</f>
        <v>394</v>
      </c>
      <c r="CD309" s="64">
        <f>+AU309</f>
        <v>419</v>
      </c>
      <c r="CE309" s="64">
        <f>+AY309</f>
        <v>427</v>
      </c>
      <c r="CF309" s="64">
        <f>+BC309</f>
        <v>407</v>
      </c>
      <c r="CG309" s="64">
        <f>+BG309</f>
        <v>408</v>
      </c>
      <c r="CH309" s="64"/>
      <c r="CI309" s="64"/>
    </row>
    <row r="310" spans="2:87" x14ac:dyDescent="0.2">
      <c r="B310" t="s">
        <v>216</v>
      </c>
      <c r="D310" s="81">
        <v>81</v>
      </c>
      <c r="E310" s="81">
        <v>96</v>
      </c>
      <c r="F310" s="81">
        <v>113</v>
      </c>
      <c r="G310" s="81">
        <v>138</v>
      </c>
      <c r="H310" s="81">
        <v>156</v>
      </c>
      <c r="I310" s="81">
        <v>174</v>
      </c>
      <c r="J310" s="81">
        <v>196</v>
      </c>
      <c r="K310" s="81">
        <v>212</v>
      </c>
      <c r="L310" s="81">
        <v>234</v>
      </c>
      <c r="M310" s="81">
        <v>255</v>
      </c>
      <c r="N310" s="81">
        <v>277</v>
      </c>
      <c r="O310" s="81">
        <v>298</v>
      </c>
      <c r="P310" s="81">
        <v>319</v>
      </c>
      <c r="Q310" s="81">
        <v>339</v>
      </c>
      <c r="R310" s="81">
        <v>351</v>
      </c>
      <c r="S310" s="81">
        <v>368</v>
      </c>
      <c r="T310" s="81">
        <v>390</v>
      </c>
      <c r="U310" s="81">
        <v>410</v>
      </c>
      <c r="V310" s="81">
        <v>426</v>
      </c>
      <c r="W310" s="81">
        <v>449</v>
      </c>
      <c r="X310" s="81">
        <v>471</v>
      </c>
      <c r="Y310" s="81">
        <v>495.5</v>
      </c>
      <c r="Z310" s="81">
        <v>521.5</v>
      </c>
      <c r="AA310" s="81">
        <v>540</v>
      </c>
      <c r="AB310" s="81">
        <v>566</v>
      </c>
      <c r="AC310" s="81">
        <v>592</v>
      </c>
      <c r="AD310" s="81">
        <v>629</v>
      </c>
      <c r="AE310" s="81">
        <v>673</v>
      </c>
      <c r="AF310" s="81">
        <v>716</v>
      </c>
      <c r="AG310" s="81">
        <v>756</v>
      </c>
      <c r="AH310" s="81">
        <v>794</v>
      </c>
      <c r="AI310" s="81">
        <v>828</v>
      </c>
      <c r="AJ310" s="81">
        <v>873</v>
      </c>
      <c r="AK310" s="81">
        <v>894</v>
      </c>
      <c r="AL310" s="81">
        <v>917</v>
      </c>
      <c r="AM310" s="81">
        <v>947</v>
      </c>
      <c r="AN310" s="81">
        <v>981</v>
      </c>
      <c r="AO310" s="81">
        <v>1003</v>
      </c>
      <c r="AP310" s="81">
        <v>1013</v>
      </c>
      <c r="AQ310" s="81">
        <v>1038</v>
      </c>
      <c r="AR310" s="81">
        <v>1093</v>
      </c>
      <c r="AS310" s="81">
        <v>1142</v>
      </c>
      <c r="AT310" s="81">
        <v>1166</v>
      </c>
      <c r="AU310" s="81">
        <v>1199</v>
      </c>
      <c r="AV310" s="81">
        <v>1230</v>
      </c>
      <c r="AW310" s="81">
        <v>1265</v>
      </c>
      <c r="AX310" s="81">
        <v>1278</v>
      </c>
      <c r="AY310" s="81">
        <v>1278</v>
      </c>
      <c r="AZ310" s="81">
        <v>1297</v>
      </c>
      <c r="BA310" s="81">
        <v>1305</v>
      </c>
      <c r="BB310" s="81">
        <v>1312</v>
      </c>
      <c r="BC310" s="81">
        <v>1312</v>
      </c>
      <c r="BD310" s="81">
        <v>1324</v>
      </c>
      <c r="BE310" s="81">
        <v>1349</v>
      </c>
      <c r="BF310" s="81">
        <v>1357</v>
      </c>
      <c r="BG310" s="81">
        <v>1367</v>
      </c>
      <c r="BH310" s="83" t="s">
        <v>127</v>
      </c>
      <c r="BI310" s="83" t="s">
        <v>127</v>
      </c>
      <c r="BJ310" s="83" t="s">
        <v>127</v>
      </c>
      <c r="BK310" s="81"/>
      <c r="BL310" s="81"/>
      <c r="BM310" s="81"/>
      <c r="BN310" s="81"/>
      <c r="BO310" s="81"/>
      <c r="BS310" s="81">
        <v>62</v>
      </c>
      <c r="BT310" s="80">
        <f>+G310</f>
        <v>138</v>
      </c>
      <c r="BU310" s="64">
        <f>+K310</f>
        <v>212</v>
      </c>
      <c r="BV310" s="64">
        <f>+O310</f>
        <v>298</v>
      </c>
      <c r="BW310" s="64">
        <f>+R310</f>
        <v>351</v>
      </c>
      <c r="BX310" s="64">
        <f>+W310</f>
        <v>449</v>
      </c>
      <c r="BY310" s="64">
        <f>+AA310</f>
        <v>540</v>
      </c>
      <c r="BZ310" s="64">
        <f>+AE310</f>
        <v>673</v>
      </c>
      <c r="CA310" s="64">
        <f>+AI310</f>
        <v>828</v>
      </c>
      <c r="CB310" s="64">
        <f>+AM310</f>
        <v>947</v>
      </c>
      <c r="CC310" s="64">
        <f>+AQ310</f>
        <v>1038</v>
      </c>
      <c r="CD310" s="64">
        <f>+AU310</f>
        <v>1199</v>
      </c>
      <c r="CE310" s="64">
        <f>+AY310</f>
        <v>1278</v>
      </c>
      <c r="CF310" s="64">
        <f>+BC310</f>
        <v>1312</v>
      </c>
      <c r="CG310" s="64">
        <f>+BG310</f>
        <v>1367</v>
      </c>
      <c r="CH310" s="64"/>
      <c r="CI310" s="64"/>
    </row>
    <row r="311" spans="2:87" ht="13.5" x14ac:dyDescent="0.35">
      <c r="B311" t="s">
        <v>217</v>
      </c>
      <c r="D311" s="82">
        <v>83</v>
      </c>
      <c r="E311" s="82">
        <v>98</v>
      </c>
      <c r="F311" s="82">
        <v>126</v>
      </c>
      <c r="G311" s="82">
        <v>133</v>
      </c>
      <c r="H311" s="82">
        <v>161</v>
      </c>
      <c r="I311" s="82">
        <v>183</v>
      </c>
      <c r="J311" s="82">
        <v>207</v>
      </c>
      <c r="K311" s="82">
        <v>225</v>
      </c>
      <c r="L311" s="82">
        <v>245</v>
      </c>
      <c r="M311" s="82">
        <v>268</v>
      </c>
      <c r="N311" s="82">
        <v>288</v>
      </c>
      <c r="O311" s="82">
        <v>304</v>
      </c>
      <c r="P311" s="82">
        <v>327</v>
      </c>
      <c r="Q311" s="82">
        <v>346</v>
      </c>
      <c r="R311" s="82">
        <v>363</v>
      </c>
      <c r="S311" s="82">
        <v>376</v>
      </c>
      <c r="T311" s="82">
        <v>395</v>
      </c>
      <c r="U311" s="82">
        <v>411</v>
      </c>
      <c r="V311" s="82">
        <v>423</v>
      </c>
      <c r="W311" s="82">
        <v>436</v>
      </c>
      <c r="X311" s="82">
        <v>453</v>
      </c>
      <c r="Y311" s="82">
        <v>470.5</v>
      </c>
      <c r="Z311" s="82">
        <v>491.5</v>
      </c>
      <c r="AA311" s="82">
        <v>509</v>
      </c>
      <c r="AB311" s="82">
        <v>533</v>
      </c>
      <c r="AC311" s="82">
        <v>556</v>
      </c>
      <c r="AD311" s="82">
        <v>587</v>
      </c>
      <c r="AE311" s="82">
        <v>606</v>
      </c>
      <c r="AF311" s="82">
        <v>632</v>
      </c>
      <c r="AG311" s="82">
        <v>654</v>
      </c>
      <c r="AH311" s="82">
        <v>675</v>
      </c>
      <c r="AI311" s="82">
        <v>692</v>
      </c>
      <c r="AJ311" s="82">
        <v>705</v>
      </c>
      <c r="AK311" s="82">
        <v>723</v>
      </c>
      <c r="AL311" s="82">
        <v>736</v>
      </c>
      <c r="AM311" s="82">
        <v>750</v>
      </c>
      <c r="AN311" s="82">
        <v>768</v>
      </c>
      <c r="AO311" s="82">
        <v>782</v>
      </c>
      <c r="AP311" s="82">
        <v>802</v>
      </c>
      <c r="AQ311" s="82">
        <v>817</v>
      </c>
      <c r="AR311" s="82">
        <v>851</v>
      </c>
      <c r="AS311" s="82">
        <v>892</v>
      </c>
      <c r="AT311" s="82">
        <v>906</v>
      </c>
      <c r="AU311" s="82">
        <v>921</v>
      </c>
      <c r="AV311" s="82">
        <v>940</v>
      </c>
      <c r="AW311" s="82">
        <v>951</v>
      </c>
      <c r="AX311" s="82">
        <v>949</v>
      </c>
      <c r="AY311" s="82">
        <v>945</v>
      </c>
      <c r="AZ311" s="82">
        <v>957</v>
      </c>
      <c r="BA311" s="82">
        <v>959</v>
      </c>
      <c r="BB311" s="82">
        <v>971</v>
      </c>
      <c r="BC311" s="82">
        <v>979</v>
      </c>
      <c r="BD311" s="82">
        <v>986</v>
      </c>
      <c r="BE311" s="82">
        <v>1002</v>
      </c>
      <c r="BF311" s="82">
        <v>1013</v>
      </c>
      <c r="BG311" s="82">
        <v>1018</v>
      </c>
      <c r="BH311" s="85" t="s">
        <v>127</v>
      </c>
      <c r="BI311" s="85" t="s">
        <v>127</v>
      </c>
      <c r="BJ311" s="85" t="s">
        <v>127</v>
      </c>
      <c r="BK311" s="82"/>
      <c r="BL311" s="82"/>
      <c r="BM311" s="82"/>
      <c r="BN311" s="82"/>
      <c r="BO311" s="82"/>
      <c r="BS311" s="82">
        <v>69</v>
      </c>
      <c r="BT311" s="72">
        <f>+G311</f>
        <v>133</v>
      </c>
      <c r="BU311" s="65">
        <f>+K311</f>
        <v>225</v>
      </c>
      <c r="BV311" s="65">
        <f>+O311</f>
        <v>304</v>
      </c>
      <c r="BW311" s="65">
        <f>+R311</f>
        <v>363</v>
      </c>
      <c r="BX311" s="65">
        <f>+W311</f>
        <v>436</v>
      </c>
      <c r="BY311" s="65">
        <f>+AA311</f>
        <v>509</v>
      </c>
      <c r="BZ311" s="65">
        <f>+AE311</f>
        <v>606</v>
      </c>
      <c r="CA311" s="65">
        <f>+AI311</f>
        <v>692</v>
      </c>
      <c r="CB311" s="65">
        <f>+AM311</f>
        <v>750</v>
      </c>
      <c r="CC311" s="65">
        <f>+AQ311</f>
        <v>817</v>
      </c>
      <c r="CD311" s="65">
        <f>+AU311</f>
        <v>921</v>
      </c>
      <c r="CE311" s="65">
        <f>+AY311</f>
        <v>945</v>
      </c>
      <c r="CF311" s="65">
        <f>+BC311</f>
        <v>979</v>
      </c>
      <c r="CG311" s="65">
        <f>+BG311</f>
        <v>1018</v>
      </c>
      <c r="CH311" s="65"/>
      <c r="CI311" s="65"/>
    </row>
    <row r="312" spans="2:87" s="44" customFormat="1" x14ac:dyDescent="0.2">
      <c r="B312" s="110" t="s">
        <v>261</v>
      </c>
      <c r="D312" s="111">
        <f>SUM(D308:D311)</f>
        <v>432</v>
      </c>
      <c r="E312" s="111">
        <f t="shared" ref="E312:AT312" si="613">SUM(E308:E311)</f>
        <v>482</v>
      </c>
      <c r="F312" s="111">
        <f t="shared" si="613"/>
        <v>550</v>
      </c>
      <c r="G312" s="111">
        <f t="shared" si="613"/>
        <v>608</v>
      </c>
      <c r="H312" s="111">
        <f t="shared" si="613"/>
        <v>681</v>
      </c>
      <c r="I312" s="111">
        <f t="shared" si="613"/>
        <v>738</v>
      </c>
      <c r="J312" s="111">
        <f t="shared" si="613"/>
        <v>800</v>
      </c>
      <c r="K312" s="111">
        <f t="shared" si="613"/>
        <v>845</v>
      </c>
      <c r="L312" s="111">
        <f t="shared" si="613"/>
        <v>901</v>
      </c>
      <c r="M312" s="111">
        <f t="shared" si="613"/>
        <v>955</v>
      </c>
      <c r="N312" s="111">
        <f t="shared" si="613"/>
        <v>1007</v>
      </c>
      <c r="O312" s="111">
        <f t="shared" si="613"/>
        <v>1056</v>
      </c>
      <c r="P312" s="111">
        <f t="shared" si="613"/>
        <v>1110</v>
      </c>
      <c r="Q312" s="111">
        <f t="shared" si="613"/>
        <v>1155</v>
      </c>
      <c r="R312" s="111">
        <f t="shared" si="613"/>
        <v>1189</v>
      </c>
      <c r="S312" s="111">
        <f t="shared" si="613"/>
        <v>1227</v>
      </c>
      <c r="T312" s="111">
        <f t="shared" si="613"/>
        <v>1276</v>
      </c>
      <c r="U312" s="111">
        <f t="shared" si="613"/>
        <v>1317</v>
      </c>
      <c r="V312" s="111">
        <f t="shared" si="613"/>
        <v>1351</v>
      </c>
      <c r="W312" s="111">
        <f t="shared" si="613"/>
        <v>1394</v>
      </c>
      <c r="X312" s="111">
        <f t="shared" si="613"/>
        <v>1441</v>
      </c>
      <c r="Y312" s="111">
        <f t="shared" si="613"/>
        <v>1490</v>
      </c>
      <c r="Z312" s="111">
        <f t="shared" si="613"/>
        <v>1545</v>
      </c>
      <c r="AA312" s="111">
        <f t="shared" si="613"/>
        <v>1591</v>
      </c>
      <c r="AB312" s="111">
        <f t="shared" si="613"/>
        <v>1654</v>
      </c>
      <c r="AC312" s="111">
        <f t="shared" si="613"/>
        <v>1712</v>
      </c>
      <c r="AD312" s="111">
        <f t="shared" si="613"/>
        <v>1787</v>
      </c>
      <c r="AE312" s="111">
        <f t="shared" si="613"/>
        <v>1859</v>
      </c>
      <c r="AF312" s="111">
        <f t="shared" si="613"/>
        <v>1936</v>
      </c>
      <c r="AG312" s="111">
        <f t="shared" si="613"/>
        <v>2006</v>
      </c>
      <c r="AH312" s="111">
        <f t="shared" si="613"/>
        <v>2072</v>
      </c>
      <c r="AI312" s="111">
        <f t="shared" si="613"/>
        <v>2129</v>
      </c>
      <c r="AJ312" s="111">
        <f t="shared" si="613"/>
        <v>2196</v>
      </c>
      <c r="AK312" s="111">
        <f t="shared" si="613"/>
        <v>2234</v>
      </c>
      <c r="AL312" s="111">
        <f t="shared" si="613"/>
        <v>2270</v>
      </c>
      <c r="AM312" s="111">
        <f t="shared" si="613"/>
        <v>2320</v>
      </c>
      <c r="AN312" s="111">
        <f t="shared" si="613"/>
        <v>2376</v>
      </c>
      <c r="AO312" s="111">
        <f t="shared" si="613"/>
        <v>2414</v>
      </c>
      <c r="AP312" s="111">
        <f t="shared" si="613"/>
        <v>2449</v>
      </c>
      <c r="AQ312" s="111">
        <f t="shared" si="613"/>
        <v>2497</v>
      </c>
      <c r="AR312" s="111">
        <f t="shared" si="613"/>
        <v>2603</v>
      </c>
      <c r="AS312" s="111">
        <f t="shared" si="613"/>
        <v>2700</v>
      </c>
      <c r="AT312" s="111">
        <f t="shared" si="613"/>
        <v>2740</v>
      </c>
      <c r="AU312" s="111">
        <f t="shared" ref="AU312:AZ312" si="614">SUM(AU308:AU311)</f>
        <v>2797</v>
      </c>
      <c r="AV312" s="111">
        <f t="shared" si="614"/>
        <v>2852</v>
      </c>
      <c r="AW312" s="111">
        <f t="shared" si="614"/>
        <v>2895</v>
      </c>
      <c r="AX312" s="111">
        <f t="shared" si="614"/>
        <v>2911</v>
      </c>
      <c r="AY312" s="111">
        <f t="shared" si="614"/>
        <v>2912</v>
      </c>
      <c r="AZ312" s="111">
        <f t="shared" si="614"/>
        <v>2935</v>
      </c>
      <c r="BA312" s="111">
        <f t="shared" ref="BA312:BG312" si="615">SUM(BA308:BA311)</f>
        <v>2935</v>
      </c>
      <c r="BB312" s="111">
        <f t="shared" si="615"/>
        <v>2957</v>
      </c>
      <c r="BC312" s="111">
        <f t="shared" si="615"/>
        <v>2964</v>
      </c>
      <c r="BD312" s="111">
        <f t="shared" si="615"/>
        <v>2990</v>
      </c>
      <c r="BE312" s="111">
        <f t="shared" si="615"/>
        <v>3030</v>
      </c>
      <c r="BF312" s="111">
        <f t="shared" si="615"/>
        <v>3049</v>
      </c>
      <c r="BG312" s="111">
        <f t="shared" si="615"/>
        <v>3065</v>
      </c>
      <c r="BH312" s="212" t="str">
        <f>IFERROR(BH308+BH309+BH310+BH311,"n/a")</f>
        <v>n/a</v>
      </c>
      <c r="BI312" s="212" t="str">
        <f>IFERROR(BI308+BI309+BI310+BI311,"n/a")</f>
        <v>n/a</v>
      </c>
      <c r="BJ312" s="212" t="str">
        <f>IFERROR(BJ308+BJ309+BJ310+BJ311,"n/a")</f>
        <v>n/a</v>
      </c>
      <c r="BK312" s="111"/>
      <c r="BL312" s="111"/>
      <c r="BM312" s="111"/>
      <c r="BN312" s="111"/>
      <c r="BO312" s="111"/>
      <c r="BS312" s="111">
        <f t="shared" ref="BS312:CC312" si="616">SUM(BS308:BS311)</f>
        <v>360</v>
      </c>
      <c r="BT312" s="111">
        <f t="shared" si="616"/>
        <v>608</v>
      </c>
      <c r="BU312" s="111">
        <f t="shared" si="616"/>
        <v>845</v>
      </c>
      <c r="BV312" s="111">
        <f t="shared" si="616"/>
        <v>1056</v>
      </c>
      <c r="BW312" s="111">
        <f t="shared" si="616"/>
        <v>1189</v>
      </c>
      <c r="BX312" s="111">
        <f t="shared" si="616"/>
        <v>1394</v>
      </c>
      <c r="BY312" s="111">
        <f t="shared" si="616"/>
        <v>1591</v>
      </c>
      <c r="BZ312" s="111">
        <f t="shared" si="616"/>
        <v>1859</v>
      </c>
      <c r="CA312" s="111">
        <f t="shared" si="616"/>
        <v>2129</v>
      </c>
      <c r="CB312" s="111">
        <f t="shared" si="616"/>
        <v>2320</v>
      </c>
      <c r="CC312" s="111">
        <f t="shared" si="616"/>
        <v>2497</v>
      </c>
      <c r="CD312" s="111">
        <f>+AU312</f>
        <v>2797</v>
      </c>
      <c r="CE312" s="111">
        <f>+AY312</f>
        <v>2912</v>
      </c>
      <c r="CF312" s="111">
        <f>+BC312</f>
        <v>2964</v>
      </c>
      <c r="CG312" s="111">
        <f>+BG312</f>
        <v>3065</v>
      </c>
      <c r="CH312" s="111"/>
      <c r="CI312" s="111"/>
    </row>
    <row r="313" spans="2:87" x14ac:dyDescent="0.2">
      <c r="AI313" s="55"/>
      <c r="AJ313" s="55"/>
      <c r="AK313" s="123" t="s">
        <v>219</v>
      </c>
      <c r="AL313" s="115">
        <v>2280</v>
      </c>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c r="BM313" s="55"/>
      <c r="BN313" s="55"/>
      <c r="BO313" s="55"/>
    </row>
    <row r="314" spans="2:87" x14ac:dyDescent="0.2">
      <c r="B314" s="62" t="s">
        <v>17</v>
      </c>
    </row>
    <row r="315" spans="2:87" x14ac:dyDescent="0.2">
      <c r="B315" s="60" t="s">
        <v>214</v>
      </c>
      <c r="E315" s="76"/>
      <c r="F315" s="76"/>
      <c r="G315" s="76"/>
      <c r="H315" s="106">
        <f>+H308/D308-1</f>
        <v>0.25384615384615383</v>
      </c>
      <c r="I315" s="106">
        <f t="shared" ref="I315:BG319" si="617">+I308/E308-1</f>
        <v>0.23357664233576636</v>
      </c>
      <c r="J315" s="106">
        <f t="shared" si="617"/>
        <v>0.22222222222222232</v>
      </c>
      <c r="K315" s="106">
        <f t="shared" si="617"/>
        <v>0.16233766233766245</v>
      </c>
      <c r="L315" s="106">
        <f t="shared" si="617"/>
        <v>0.12269938650306744</v>
      </c>
      <c r="M315" s="106">
        <f t="shared" si="617"/>
        <v>0.10059171597633143</v>
      </c>
      <c r="N315" s="106">
        <f t="shared" si="617"/>
        <v>7.3863636363636465E-2</v>
      </c>
      <c r="O315" s="106">
        <f t="shared" si="617"/>
        <v>7.8212290502793325E-2</v>
      </c>
      <c r="P315" s="106">
        <f t="shared" si="617"/>
        <v>6.5573770491803351E-2</v>
      </c>
      <c r="Q315" s="106">
        <f t="shared" si="617"/>
        <v>6.4516129032258007E-2</v>
      </c>
      <c r="R315" s="106">
        <f t="shared" si="617"/>
        <v>5.2910052910053018E-2</v>
      </c>
      <c r="S315" s="106">
        <f t="shared" si="617"/>
        <v>4.1450777202072464E-2</v>
      </c>
      <c r="T315" s="106">
        <f t="shared" si="617"/>
        <v>3.5897435897435992E-2</v>
      </c>
      <c r="U315" s="106">
        <f t="shared" si="617"/>
        <v>3.0303030303030276E-2</v>
      </c>
      <c r="V315" s="106">
        <f t="shared" si="617"/>
        <v>3.5175879396984966E-2</v>
      </c>
      <c r="W315" s="106">
        <f t="shared" si="617"/>
        <v>3.4825870646766122E-2</v>
      </c>
      <c r="X315" s="106">
        <f t="shared" si="617"/>
        <v>3.9603960396039639E-2</v>
      </c>
      <c r="Y315" s="106">
        <f t="shared" si="617"/>
        <v>4.4117647058823595E-2</v>
      </c>
      <c r="Z315" s="106">
        <f t="shared" si="617"/>
        <v>5.3398058252427161E-2</v>
      </c>
      <c r="AA315" s="106">
        <f t="shared" si="617"/>
        <v>5.2884615384615419E-2</v>
      </c>
      <c r="AB315" s="106">
        <f t="shared" si="617"/>
        <v>5.7142857142857162E-2</v>
      </c>
      <c r="AC315" s="106">
        <f t="shared" si="617"/>
        <v>6.1032863849765251E-2</v>
      </c>
      <c r="AD315" s="106">
        <f t="shared" si="617"/>
        <v>5.5299539170506895E-2</v>
      </c>
      <c r="AE315" s="106">
        <f t="shared" si="617"/>
        <v>5.4794520547945202E-2</v>
      </c>
      <c r="AF315" s="106">
        <f t="shared" si="617"/>
        <v>5.4054054054053946E-2</v>
      </c>
      <c r="AG315" s="106">
        <f t="shared" si="617"/>
        <v>4.4247787610619538E-2</v>
      </c>
      <c r="AH315" s="106">
        <f t="shared" si="617"/>
        <v>4.366812227074246E-2</v>
      </c>
      <c r="AI315" s="106">
        <f t="shared" si="617"/>
        <v>3.463203463203457E-2</v>
      </c>
      <c r="AJ315" s="106">
        <f t="shared" si="617"/>
        <v>2.9914529914529808E-2</v>
      </c>
      <c r="AK315" s="106">
        <f t="shared" si="617"/>
        <v>2.1186440677966045E-2</v>
      </c>
      <c r="AL315" s="106">
        <f t="shared" si="617"/>
        <v>1.2552301255230214E-2</v>
      </c>
      <c r="AM315" s="106">
        <f t="shared" si="617"/>
        <v>1.2552301255230214E-2</v>
      </c>
      <c r="AN315" s="106">
        <f t="shared" si="617"/>
        <v>8.2987551867219622E-3</v>
      </c>
      <c r="AO315" s="106">
        <f t="shared" si="617"/>
        <v>1.2448132780082943E-2</v>
      </c>
      <c r="AP315" s="106">
        <f t="shared" si="617"/>
        <v>2.0661157024793431E-2</v>
      </c>
      <c r="AQ315" s="106">
        <f t="shared" si="617"/>
        <v>2.4793388429751984E-2</v>
      </c>
      <c r="AR315" s="106">
        <f t="shared" si="617"/>
        <v>4.1152263374485631E-2</v>
      </c>
      <c r="AS315" s="106">
        <f t="shared" si="617"/>
        <v>4.9180327868852514E-2</v>
      </c>
      <c r="AT315" s="106">
        <f t="shared" si="617"/>
        <v>3.238866396761142E-2</v>
      </c>
      <c r="AU315" s="106">
        <f t="shared" si="617"/>
        <v>4.0322580645161255E-2</v>
      </c>
      <c r="AV315" s="106">
        <f t="shared" si="617"/>
        <v>2.3715415019762931E-2</v>
      </c>
      <c r="AW315" s="106">
        <f t="shared" si="617"/>
        <v>1.171875E-2</v>
      </c>
      <c r="AX315" s="106">
        <f t="shared" si="617"/>
        <v>2.3529411764705799E-2</v>
      </c>
      <c r="AY315" s="106">
        <f t="shared" si="617"/>
        <v>1.5503875968992276E-2</v>
      </c>
      <c r="AZ315" s="106">
        <f t="shared" si="617"/>
        <v>1.5444015444015413E-2</v>
      </c>
      <c r="BA315" s="106">
        <f t="shared" si="617"/>
        <v>1.9305019305019266E-2</v>
      </c>
      <c r="BB315" s="106">
        <f t="shared" si="617"/>
        <v>1.9157088122605304E-2</v>
      </c>
      <c r="BC315" s="106">
        <f t="shared" si="617"/>
        <v>1.5267175572519109E-2</v>
      </c>
      <c r="BD315" s="106">
        <f t="shared" si="617"/>
        <v>2.281368821292773E-2</v>
      </c>
      <c r="BE315" s="106">
        <f t="shared" si="617"/>
        <v>2.2727272727272707E-2</v>
      </c>
      <c r="BF315" s="106">
        <f t="shared" si="617"/>
        <v>1.8796992481203034E-2</v>
      </c>
      <c r="BG315" s="106">
        <f t="shared" si="617"/>
        <v>2.2556390977443552E-2</v>
      </c>
      <c r="BH315" s="164" t="str">
        <f>+IFERROR(BH308/BD308-1,"n/a")</f>
        <v>n/a</v>
      </c>
      <c r="BI315" s="164" t="str">
        <f>+IFERROR(BI308/BE308-1,"n/a")</f>
        <v>n/a</v>
      </c>
      <c r="BJ315" s="164" t="str">
        <f>+IFERROR(BJ308/BF308-1,"n/a")</f>
        <v>n/a</v>
      </c>
      <c r="BK315" s="106"/>
      <c r="BL315" s="106"/>
      <c r="BM315" s="106"/>
      <c r="BN315" s="106"/>
      <c r="BO315" s="106"/>
      <c r="BP315" s="106"/>
      <c r="BQ315" s="106"/>
      <c r="BR315" s="106"/>
      <c r="BS315" s="106"/>
      <c r="BT315" s="106">
        <f>+BT308/BS308-1</f>
        <v>0.375</v>
      </c>
      <c r="BU315" s="106">
        <f>+BU308/BT308-1</f>
        <v>0.16233766233766245</v>
      </c>
      <c r="BV315" s="106">
        <f t="shared" ref="BV315:CG315" si="618">+BV308/BU308-1</f>
        <v>7.8212290502793325E-2</v>
      </c>
      <c r="BW315" s="106">
        <f t="shared" si="618"/>
        <v>3.1088082901554515E-2</v>
      </c>
      <c r="BX315" s="106">
        <f t="shared" si="618"/>
        <v>4.5226130653266416E-2</v>
      </c>
      <c r="BY315" s="106">
        <f t="shared" si="618"/>
        <v>5.2884615384615419E-2</v>
      </c>
      <c r="BZ315" s="106">
        <f t="shared" si="618"/>
        <v>5.4794520547945202E-2</v>
      </c>
      <c r="CA315" s="106">
        <f t="shared" si="618"/>
        <v>3.463203463203457E-2</v>
      </c>
      <c r="CB315" s="106">
        <f t="shared" si="618"/>
        <v>1.2552301255230214E-2</v>
      </c>
      <c r="CC315" s="106">
        <f t="shared" si="618"/>
        <v>2.4793388429751984E-2</v>
      </c>
      <c r="CD315" s="106">
        <f t="shared" si="618"/>
        <v>4.0322580645161255E-2</v>
      </c>
      <c r="CE315" s="106">
        <f t="shared" si="618"/>
        <v>1.5503875968992276E-2</v>
      </c>
      <c r="CF315" s="106">
        <f t="shared" si="618"/>
        <v>1.5267175572519109E-2</v>
      </c>
      <c r="CG315" s="106">
        <f t="shared" si="618"/>
        <v>2.2556390977443552E-2</v>
      </c>
      <c r="CH315" s="106"/>
      <c r="CI315" s="106"/>
    </row>
    <row r="316" spans="2:87" x14ac:dyDescent="0.2">
      <c r="B316" s="60" t="s">
        <v>215</v>
      </c>
      <c r="E316" s="76"/>
      <c r="F316" s="76"/>
      <c r="G316" s="76"/>
      <c r="H316" s="106">
        <f>+H309/D309-1</f>
        <v>0.45652173913043481</v>
      </c>
      <c r="I316" s="106">
        <f t="shared" si="617"/>
        <v>0.4039735099337749</v>
      </c>
      <c r="J316" s="106">
        <f t="shared" si="617"/>
        <v>0.32335329341317376</v>
      </c>
      <c r="K316" s="106">
        <f t="shared" si="617"/>
        <v>0.25136612021857929</v>
      </c>
      <c r="L316" s="106">
        <f t="shared" si="617"/>
        <v>0.18905472636815923</v>
      </c>
      <c r="M316" s="106">
        <f t="shared" si="617"/>
        <v>0.16037735849056611</v>
      </c>
      <c r="N316" s="106">
        <f t="shared" si="617"/>
        <v>0.14479638009049767</v>
      </c>
      <c r="O316" s="106">
        <f t="shared" si="617"/>
        <v>0.13973799126637565</v>
      </c>
      <c r="P316" s="106">
        <f t="shared" si="617"/>
        <v>0.12552301255230125</v>
      </c>
      <c r="Q316" s="106">
        <f t="shared" si="617"/>
        <v>0.10569105691056913</v>
      </c>
      <c r="R316" s="106">
        <f t="shared" si="617"/>
        <v>9.0909090909090828E-2</v>
      </c>
      <c r="S316" s="106">
        <f t="shared" si="617"/>
        <v>8.0459770114942541E-2</v>
      </c>
      <c r="T316" s="106">
        <f t="shared" si="617"/>
        <v>7.4349442379182173E-2</v>
      </c>
      <c r="U316" s="106">
        <f t="shared" si="617"/>
        <v>7.3529411764705843E-2</v>
      </c>
      <c r="V316" s="106">
        <f t="shared" si="617"/>
        <v>7.2463768115942129E-2</v>
      </c>
      <c r="W316" s="106">
        <f t="shared" si="617"/>
        <v>6.7375886524822626E-2</v>
      </c>
      <c r="X316" s="106">
        <f t="shared" si="617"/>
        <v>6.2283737024221519E-2</v>
      </c>
      <c r="Y316" s="106">
        <f t="shared" si="617"/>
        <v>6.5068493150684859E-2</v>
      </c>
      <c r="Z316" s="106">
        <f t="shared" si="617"/>
        <v>6.4189189189189255E-2</v>
      </c>
      <c r="AA316" s="106">
        <f t="shared" si="617"/>
        <v>7.3089700996677776E-2</v>
      </c>
      <c r="AB316" s="106">
        <f t="shared" si="617"/>
        <v>8.4690553745928376E-2</v>
      </c>
      <c r="AC316" s="106">
        <f t="shared" si="617"/>
        <v>8.6816720257234747E-2</v>
      </c>
      <c r="AD316" s="106">
        <f t="shared" si="617"/>
        <v>8.5714285714285632E-2</v>
      </c>
      <c r="AE316" s="106">
        <f t="shared" si="617"/>
        <v>8.0495356037151744E-2</v>
      </c>
      <c r="AF316" s="106">
        <f t="shared" si="617"/>
        <v>6.3063063063063085E-2</v>
      </c>
      <c r="AG316" s="106">
        <f t="shared" si="617"/>
        <v>6.5088757396449815E-2</v>
      </c>
      <c r="AH316" s="106">
        <f t="shared" si="617"/>
        <v>6.4327485380117011E-2</v>
      </c>
      <c r="AI316" s="106">
        <f t="shared" si="617"/>
        <v>6.0171919770773741E-2</v>
      </c>
      <c r="AJ316" s="106">
        <f t="shared" si="617"/>
        <v>6.4971751412429279E-2</v>
      </c>
      <c r="AK316" s="106">
        <f t="shared" si="617"/>
        <v>4.4444444444444509E-2</v>
      </c>
      <c r="AL316" s="106">
        <f t="shared" si="617"/>
        <v>3.0219780219780112E-2</v>
      </c>
      <c r="AM316" s="106">
        <f t="shared" si="617"/>
        <v>2.9729729729729648E-2</v>
      </c>
      <c r="AN316" s="106">
        <f t="shared" si="617"/>
        <v>1.8567639257294433E-2</v>
      </c>
      <c r="AO316" s="106">
        <f t="shared" si="617"/>
        <v>2.3936170212766061E-2</v>
      </c>
      <c r="AP316" s="106">
        <f t="shared" si="617"/>
        <v>3.2000000000000028E-2</v>
      </c>
      <c r="AQ316" s="106">
        <f t="shared" si="617"/>
        <v>3.4120734908136496E-2</v>
      </c>
      <c r="AR316" s="106">
        <f t="shared" si="617"/>
        <v>5.7291666666666741E-2</v>
      </c>
      <c r="AS316" s="106">
        <f t="shared" si="617"/>
        <v>6.4935064935064846E-2</v>
      </c>
      <c r="AT316" s="106">
        <f t="shared" si="617"/>
        <v>6.7183462532299787E-2</v>
      </c>
      <c r="AU316" s="106">
        <f t="shared" si="617"/>
        <v>6.3451776649746217E-2</v>
      </c>
      <c r="AV316" s="106">
        <f t="shared" si="617"/>
        <v>4.1871921182266014E-2</v>
      </c>
      <c r="AW316" s="106">
        <f t="shared" si="617"/>
        <v>2.4390243902439046E-2</v>
      </c>
      <c r="AX316" s="106">
        <f t="shared" si="617"/>
        <v>2.4213075060532718E-2</v>
      </c>
      <c r="AY316" s="106">
        <f t="shared" si="617"/>
        <v>1.9093078758949833E-2</v>
      </c>
      <c r="AZ316" s="106">
        <f t="shared" si="617"/>
        <v>-1.1820330969267157E-2</v>
      </c>
      <c r="BA316" s="106">
        <f t="shared" si="617"/>
        <v>-3.0952380952380953E-2</v>
      </c>
      <c r="BB316" s="106">
        <f t="shared" si="617"/>
        <v>-3.546099290780147E-2</v>
      </c>
      <c r="BC316" s="106">
        <f t="shared" si="617"/>
        <v>-4.6838407494145251E-2</v>
      </c>
      <c r="BD316" s="106">
        <f t="shared" si="617"/>
        <v>-1.674641148325362E-2</v>
      </c>
      <c r="BE316" s="106">
        <f t="shared" si="617"/>
        <v>4.9140049140048436E-3</v>
      </c>
      <c r="BF316" s="106">
        <f t="shared" si="617"/>
        <v>0</v>
      </c>
      <c r="BG316" s="106">
        <f t="shared" si="617"/>
        <v>2.4570024570025328E-3</v>
      </c>
      <c r="BH316" s="164" t="str">
        <f t="shared" ref="BH316:BJ319" si="619">+IFERROR(BH309/BD309-1,"n/a")</f>
        <v>n/a</v>
      </c>
      <c r="BI316" s="164" t="str">
        <f t="shared" si="619"/>
        <v>n/a</v>
      </c>
      <c r="BJ316" s="164" t="str">
        <f t="shared" si="619"/>
        <v>n/a</v>
      </c>
      <c r="BK316" s="106"/>
      <c r="BL316" s="106"/>
      <c r="BM316" s="106"/>
      <c r="BN316" s="106"/>
      <c r="BO316" s="106"/>
      <c r="BP316" s="106"/>
      <c r="BQ316" s="106"/>
      <c r="BR316" s="106"/>
      <c r="BS316" s="106"/>
      <c r="BT316" s="106">
        <f t="shared" ref="BT316:CG319" si="620">+BT309/BS309-1</f>
        <v>0.5641025641025641</v>
      </c>
      <c r="BU316" s="106">
        <f t="shared" si="620"/>
        <v>0.25136612021857929</v>
      </c>
      <c r="BV316" s="106">
        <f t="shared" si="620"/>
        <v>0.13973799126637565</v>
      </c>
      <c r="BW316" s="106">
        <f t="shared" si="620"/>
        <v>5.7471264367816133E-2</v>
      </c>
      <c r="BX316" s="106">
        <f t="shared" si="620"/>
        <v>9.0579710144927494E-2</v>
      </c>
      <c r="BY316" s="106">
        <f t="shared" si="620"/>
        <v>7.3089700996677776E-2</v>
      </c>
      <c r="BZ316" s="106">
        <f t="shared" si="620"/>
        <v>8.0495356037151744E-2</v>
      </c>
      <c r="CA316" s="106">
        <f t="shared" si="620"/>
        <v>6.0171919770773741E-2</v>
      </c>
      <c r="CB316" s="106">
        <f t="shared" si="620"/>
        <v>2.9729729729729648E-2</v>
      </c>
      <c r="CC316" s="106">
        <f t="shared" si="620"/>
        <v>3.4120734908136496E-2</v>
      </c>
      <c r="CD316" s="106">
        <f t="shared" si="620"/>
        <v>6.3451776649746217E-2</v>
      </c>
      <c r="CE316" s="106">
        <f t="shared" si="620"/>
        <v>1.9093078758949833E-2</v>
      </c>
      <c r="CF316" s="106">
        <f t="shared" si="620"/>
        <v>-4.6838407494145251E-2</v>
      </c>
      <c r="CG316" s="106">
        <f t="shared" si="620"/>
        <v>2.4570024570025328E-3</v>
      </c>
      <c r="CH316" s="106"/>
      <c r="CI316" s="106"/>
    </row>
    <row r="317" spans="2:87" x14ac:dyDescent="0.2">
      <c r="B317" s="60" t="s">
        <v>216</v>
      </c>
      <c r="E317" s="76"/>
      <c r="F317" s="76"/>
      <c r="G317" s="76"/>
      <c r="H317" s="106">
        <f>+H310/D310-1</f>
        <v>0.92592592592592582</v>
      </c>
      <c r="I317" s="106">
        <f t="shared" si="617"/>
        <v>0.8125</v>
      </c>
      <c r="J317" s="106">
        <f t="shared" si="617"/>
        <v>0.73451327433628322</v>
      </c>
      <c r="K317" s="106">
        <f t="shared" si="617"/>
        <v>0.53623188405797095</v>
      </c>
      <c r="L317" s="106">
        <f t="shared" si="617"/>
        <v>0.5</v>
      </c>
      <c r="M317" s="106">
        <f t="shared" si="617"/>
        <v>0.46551724137931028</v>
      </c>
      <c r="N317" s="106">
        <f t="shared" si="617"/>
        <v>0.41326530612244894</v>
      </c>
      <c r="O317" s="106">
        <f t="shared" si="617"/>
        <v>0.40566037735849059</v>
      </c>
      <c r="P317" s="106">
        <f t="shared" si="617"/>
        <v>0.36324786324786329</v>
      </c>
      <c r="Q317" s="106">
        <f t="shared" si="617"/>
        <v>0.32941176470588229</v>
      </c>
      <c r="R317" s="106">
        <f t="shared" si="617"/>
        <v>0.26714801444043323</v>
      </c>
      <c r="S317" s="106">
        <f t="shared" si="617"/>
        <v>0.2348993288590604</v>
      </c>
      <c r="T317" s="106">
        <f t="shared" si="617"/>
        <v>0.22257053291536044</v>
      </c>
      <c r="U317" s="106">
        <f t="shared" si="617"/>
        <v>0.20943952802359878</v>
      </c>
      <c r="V317" s="106">
        <f t="shared" si="617"/>
        <v>0.21367521367521358</v>
      </c>
      <c r="W317" s="106">
        <f t="shared" si="617"/>
        <v>0.22010869565217384</v>
      </c>
      <c r="X317" s="106">
        <f t="shared" si="617"/>
        <v>0.20769230769230762</v>
      </c>
      <c r="Y317" s="106">
        <f t="shared" si="617"/>
        <v>0.20853658536585362</v>
      </c>
      <c r="Z317" s="106">
        <f t="shared" si="617"/>
        <v>0.2241784037558685</v>
      </c>
      <c r="AA317" s="106">
        <f t="shared" si="617"/>
        <v>0.20267260579064583</v>
      </c>
      <c r="AB317" s="106">
        <f t="shared" si="617"/>
        <v>0.20169851380042458</v>
      </c>
      <c r="AC317" s="106">
        <f t="shared" si="617"/>
        <v>0.19475277497477306</v>
      </c>
      <c r="AD317" s="106">
        <f t="shared" si="617"/>
        <v>0.20613614573346117</v>
      </c>
      <c r="AE317" s="106">
        <f t="shared" si="617"/>
        <v>0.24629629629629624</v>
      </c>
      <c r="AF317" s="106">
        <f t="shared" si="617"/>
        <v>0.26501766784452307</v>
      </c>
      <c r="AG317" s="106">
        <f t="shared" si="617"/>
        <v>0.27702702702702697</v>
      </c>
      <c r="AH317" s="106">
        <f t="shared" si="617"/>
        <v>0.26232114467408585</v>
      </c>
      <c r="AI317" s="106">
        <f t="shared" si="617"/>
        <v>0.23031203566121849</v>
      </c>
      <c r="AJ317" s="106">
        <f t="shared" si="617"/>
        <v>0.21927374301675973</v>
      </c>
      <c r="AK317" s="106">
        <f t="shared" si="617"/>
        <v>0.18253968253968256</v>
      </c>
      <c r="AL317" s="106">
        <f t="shared" si="617"/>
        <v>0.15491183879093207</v>
      </c>
      <c r="AM317" s="106">
        <f t="shared" si="617"/>
        <v>0.143719806763285</v>
      </c>
      <c r="AN317" s="106">
        <f t="shared" si="617"/>
        <v>0.12371134020618557</v>
      </c>
      <c r="AO317" s="106">
        <f t="shared" si="617"/>
        <v>0.12192393736017904</v>
      </c>
      <c r="AP317" s="106">
        <f t="shared" si="617"/>
        <v>0.10468920392584513</v>
      </c>
      <c r="AQ317" s="106">
        <f t="shared" si="617"/>
        <v>9.6092925026399101E-2</v>
      </c>
      <c r="AR317" s="106">
        <f t="shared" si="617"/>
        <v>0.11416921508664624</v>
      </c>
      <c r="AS317" s="106">
        <f t="shared" si="617"/>
        <v>0.13858424725822527</v>
      </c>
      <c r="AT317" s="106">
        <f t="shared" si="617"/>
        <v>0.15103652517275412</v>
      </c>
      <c r="AU317" s="106">
        <f t="shared" si="617"/>
        <v>0.15510597302504814</v>
      </c>
      <c r="AV317" s="106">
        <f t="shared" si="617"/>
        <v>0.12534309240622132</v>
      </c>
      <c r="AW317" s="106">
        <f t="shared" si="617"/>
        <v>0.10770577933450087</v>
      </c>
      <c r="AX317" s="106">
        <f t="shared" si="617"/>
        <v>9.6054888507718594E-2</v>
      </c>
      <c r="AY317" s="106">
        <f t="shared" si="617"/>
        <v>6.5888240200166814E-2</v>
      </c>
      <c r="AZ317" s="106">
        <f t="shared" si="617"/>
        <v>5.4471544715447129E-2</v>
      </c>
      <c r="BA317" s="106">
        <f t="shared" si="617"/>
        <v>3.1620553359683834E-2</v>
      </c>
      <c r="BB317" s="106">
        <f t="shared" si="617"/>
        <v>2.6604068857589924E-2</v>
      </c>
      <c r="BC317" s="106">
        <f t="shared" si="617"/>
        <v>2.6604068857589924E-2</v>
      </c>
      <c r="BD317" s="106">
        <f t="shared" si="617"/>
        <v>2.0817270624518214E-2</v>
      </c>
      <c r="BE317" s="106">
        <f t="shared" si="617"/>
        <v>3.3716475095785459E-2</v>
      </c>
      <c r="BF317" s="106">
        <f t="shared" si="617"/>
        <v>3.429878048780477E-2</v>
      </c>
      <c r="BG317" s="106">
        <f t="shared" si="617"/>
        <v>4.1920731707317138E-2</v>
      </c>
      <c r="BH317" s="164" t="str">
        <f t="shared" si="619"/>
        <v>n/a</v>
      </c>
      <c r="BI317" s="164" t="str">
        <f t="shared" si="619"/>
        <v>n/a</v>
      </c>
      <c r="BJ317" s="164" t="str">
        <f t="shared" si="619"/>
        <v>n/a</v>
      </c>
      <c r="BK317" s="106"/>
      <c r="BL317" s="106"/>
      <c r="BM317" s="106"/>
      <c r="BN317" s="106"/>
      <c r="BO317" s="106"/>
      <c r="BP317" s="106"/>
      <c r="BQ317" s="106"/>
      <c r="BR317" s="106"/>
      <c r="BS317" s="106"/>
      <c r="BT317" s="106">
        <f t="shared" si="620"/>
        <v>1.225806451612903</v>
      </c>
      <c r="BU317" s="106">
        <f t="shared" si="620"/>
        <v>0.53623188405797095</v>
      </c>
      <c r="BV317" s="106">
        <f t="shared" si="620"/>
        <v>0.40566037735849059</v>
      </c>
      <c r="BW317" s="106">
        <f t="shared" si="620"/>
        <v>0.17785234899328861</v>
      </c>
      <c r="BX317" s="106">
        <f t="shared" si="620"/>
        <v>0.27920227920227925</v>
      </c>
      <c r="BY317" s="106">
        <f t="shared" si="620"/>
        <v>0.20267260579064583</v>
      </c>
      <c r="BZ317" s="106">
        <f t="shared" si="620"/>
        <v>0.24629629629629624</v>
      </c>
      <c r="CA317" s="106">
        <f t="shared" si="620"/>
        <v>0.23031203566121849</v>
      </c>
      <c r="CB317" s="106">
        <f t="shared" si="620"/>
        <v>0.143719806763285</v>
      </c>
      <c r="CC317" s="106">
        <f t="shared" si="620"/>
        <v>9.6092925026399101E-2</v>
      </c>
      <c r="CD317" s="106">
        <f t="shared" si="620"/>
        <v>0.15510597302504814</v>
      </c>
      <c r="CE317" s="106">
        <f t="shared" si="620"/>
        <v>6.5888240200166814E-2</v>
      </c>
      <c r="CF317" s="106">
        <f t="shared" si="620"/>
        <v>2.6604068857589924E-2</v>
      </c>
      <c r="CG317" s="106">
        <f t="shared" si="620"/>
        <v>4.1920731707317138E-2</v>
      </c>
      <c r="CH317" s="106"/>
      <c r="CI317" s="106"/>
    </row>
    <row r="318" spans="2:87" ht="13.5" x14ac:dyDescent="0.35">
      <c r="B318" s="60" t="s">
        <v>217</v>
      </c>
      <c r="E318" s="76"/>
      <c r="F318" s="76"/>
      <c r="G318" s="76"/>
      <c r="H318" s="108">
        <f>+H311/D311-1</f>
        <v>0.93975903614457823</v>
      </c>
      <c r="I318" s="108">
        <f t="shared" si="617"/>
        <v>0.86734693877551017</v>
      </c>
      <c r="J318" s="108">
        <f t="shared" si="617"/>
        <v>0.64285714285714279</v>
      </c>
      <c r="K318" s="108">
        <f t="shared" si="617"/>
        <v>0.69172932330827064</v>
      </c>
      <c r="L318" s="108">
        <f t="shared" si="617"/>
        <v>0.52173913043478271</v>
      </c>
      <c r="M318" s="108">
        <f t="shared" si="617"/>
        <v>0.46448087431693996</v>
      </c>
      <c r="N318" s="108">
        <f t="shared" si="617"/>
        <v>0.39130434782608692</v>
      </c>
      <c r="O318" s="108">
        <f t="shared" si="617"/>
        <v>0.35111111111111115</v>
      </c>
      <c r="P318" s="108">
        <f t="shared" si="617"/>
        <v>0.33469387755102042</v>
      </c>
      <c r="Q318" s="108">
        <f t="shared" si="617"/>
        <v>0.29104477611940305</v>
      </c>
      <c r="R318" s="108">
        <f t="shared" si="617"/>
        <v>0.26041666666666674</v>
      </c>
      <c r="S318" s="108">
        <f t="shared" si="617"/>
        <v>0.23684210526315796</v>
      </c>
      <c r="T318" s="108">
        <f t="shared" si="617"/>
        <v>0.20795107033639137</v>
      </c>
      <c r="U318" s="108">
        <f t="shared" si="617"/>
        <v>0.18786127167630062</v>
      </c>
      <c r="V318" s="108">
        <f t="shared" si="617"/>
        <v>0.165289256198347</v>
      </c>
      <c r="W318" s="108">
        <f t="shared" si="617"/>
        <v>0.15957446808510634</v>
      </c>
      <c r="X318" s="108">
        <f t="shared" si="617"/>
        <v>0.14683544303797458</v>
      </c>
      <c r="Y318" s="108">
        <f t="shared" si="617"/>
        <v>0.14476885644768855</v>
      </c>
      <c r="Z318" s="108">
        <f t="shared" si="617"/>
        <v>0.16193853427895988</v>
      </c>
      <c r="AA318" s="108">
        <f t="shared" si="617"/>
        <v>0.16743119266055051</v>
      </c>
      <c r="AB318" s="108">
        <f t="shared" si="617"/>
        <v>0.17660044150110377</v>
      </c>
      <c r="AC318" s="108">
        <f t="shared" si="617"/>
        <v>0.18172157279489909</v>
      </c>
      <c r="AD318" s="108">
        <f t="shared" si="617"/>
        <v>0.19430315361139372</v>
      </c>
      <c r="AE318" s="108">
        <f t="shared" si="617"/>
        <v>0.1905697445972494</v>
      </c>
      <c r="AF318" s="108">
        <f t="shared" si="617"/>
        <v>0.18574108818011248</v>
      </c>
      <c r="AG318" s="108">
        <f t="shared" si="617"/>
        <v>0.17625899280575541</v>
      </c>
      <c r="AH318" s="108">
        <f t="shared" si="617"/>
        <v>0.14991482112436105</v>
      </c>
      <c r="AI318" s="108">
        <f t="shared" si="617"/>
        <v>0.14191419141914197</v>
      </c>
      <c r="AJ318" s="108">
        <f t="shared" si="617"/>
        <v>0.115506329113924</v>
      </c>
      <c r="AK318" s="108">
        <f t="shared" si="617"/>
        <v>0.10550458715596323</v>
      </c>
      <c r="AL318" s="108">
        <f t="shared" si="617"/>
        <v>9.0370370370370434E-2</v>
      </c>
      <c r="AM318" s="108">
        <f t="shared" si="617"/>
        <v>8.381502890173409E-2</v>
      </c>
      <c r="AN318" s="108">
        <f t="shared" si="617"/>
        <v>8.9361702127659592E-2</v>
      </c>
      <c r="AO318" s="108">
        <f t="shared" si="617"/>
        <v>8.1604426002766184E-2</v>
      </c>
      <c r="AP318" s="108">
        <f t="shared" si="617"/>
        <v>8.9673913043478271E-2</v>
      </c>
      <c r="AQ318" s="108">
        <f t="shared" si="617"/>
        <v>8.9333333333333265E-2</v>
      </c>
      <c r="AR318" s="108">
        <f t="shared" si="617"/>
        <v>0.10807291666666674</v>
      </c>
      <c r="AS318" s="108">
        <f t="shared" si="617"/>
        <v>0.14066496163682873</v>
      </c>
      <c r="AT318" s="108">
        <f t="shared" si="617"/>
        <v>0.12967581047381538</v>
      </c>
      <c r="AU318" s="108">
        <f t="shared" si="617"/>
        <v>0.12729498164014696</v>
      </c>
      <c r="AV318" s="108">
        <f t="shared" si="617"/>
        <v>0.10458284371327853</v>
      </c>
      <c r="AW318" s="108">
        <f t="shared" si="617"/>
        <v>6.6143497757847447E-2</v>
      </c>
      <c r="AX318" s="108">
        <f t="shared" si="617"/>
        <v>4.7461368653421543E-2</v>
      </c>
      <c r="AY318" s="108">
        <f t="shared" si="617"/>
        <v>2.6058631921824116E-2</v>
      </c>
      <c r="AZ318" s="108">
        <f t="shared" si="617"/>
        <v>1.8085106382978777E-2</v>
      </c>
      <c r="BA318" s="108">
        <f t="shared" si="617"/>
        <v>8.4121976866455839E-3</v>
      </c>
      <c r="BB318" s="108">
        <f t="shared" si="617"/>
        <v>2.3182297154899834E-2</v>
      </c>
      <c r="BC318" s="108">
        <f t="shared" si="617"/>
        <v>3.5978835978835999E-2</v>
      </c>
      <c r="BD318" s="108">
        <f t="shared" si="617"/>
        <v>3.0303030303030276E-2</v>
      </c>
      <c r="BE318" s="108">
        <f t="shared" si="617"/>
        <v>4.4838373305526646E-2</v>
      </c>
      <c r="BF318" s="108">
        <f t="shared" si="617"/>
        <v>4.3254376930998983E-2</v>
      </c>
      <c r="BG318" s="108">
        <f t="shared" si="617"/>
        <v>3.9836567926455624E-2</v>
      </c>
      <c r="BH318" s="134" t="str">
        <f t="shared" si="619"/>
        <v>n/a</v>
      </c>
      <c r="BI318" s="134" t="str">
        <f t="shared" si="619"/>
        <v>n/a</v>
      </c>
      <c r="BJ318" s="134" t="str">
        <f t="shared" si="619"/>
        <v>n/a</v>
      </c>
      <c r="BK318" s="108"/>
      <c r="BL318" s="108"/>
      <c r="BM318" s="108"/>
      <c r="BN318" s="108"/>
      <c r="BO318" s="108"/>
      <c r="BP318" s="108"/>
      <c r="BQ318" s="108"/>
      <c r="BR318" s="108"/>
      <c r="BS318" s="108"/>
      <c r="BT318" s="108">
        <f t="shared" si="620"/>
        <v>0.92753623188405787</v>
      </c>
      <c r="BU318" s="108">
        <f t="shared" si="620"/>
        <v>0.69172932330827064</v>
      </c>
      <c r="BV318" s="108">
        <f t="shared" si="620"/>
        <v>0.35111111111111115</v>
      </c>
      <c r="BW318" s="108">
        <f t="shared" si="620"/>
        <v>0.19407894736842102</v>
      </c>
      <c r="BX318" s="108">
        <f t="shared" si="620"/>
        <v>0.20110192837465557</v>
      </c>
      <c r="BY318" s="108">
        <f t="shared" si="620"/>
        <v>0.16743119266055051</v>
      </c>
      <c r="BZ318" s="108">
        <f t="shared" si="620"/>
        <v>0.1905697445972494</v>
      </c>
      <c r="CA318" s="108">
        <f t="shared" si="620"/>
        <v>0.14191419141914197</v>
      </c>
      <c r="CB318" s="108">
        <f t="shared" si="620"/>
        <v>8.381502890173409E-2</v>
      </c>
      <c r="CC318" s="108">
        <f t="shared" si="620"/>
        <v>8.9333333333333265E-2</v>
      </c>
      <c r="CD318" s="108">
        <f t="shared" si="620"/>
        <v>0.12729498164014696</v>
      </c>
      <c r="CE318" s="108">
        <f t="shared" si="620"/>
        <v>2.6058631921824116E-2</v>
      </c>
      <c r="CF318" s="108">
        <f t="shared" si="620"/>
        <v>3.5978835978835999E-2</v>
      </c>
      <c r="CG318" s="108">
        <f t="shared" si="620"/>
        <v>3.9836567926455624E-2</v>
      </c>
      <c r="CH318" s="108"/>
      <c r="CI318" s="108"/>
    </row>
    <row r="319" spans="2:87" x14ac:dyDescent="0.2">
      <c r="B319" s="101" t="s">
        <v>261</v>
      </c>
      <c r="D319" s="68"/>
      <c r="E319" s="57"/>
      <c r="F319" s="57"/>
      <c r="G319" s="57"/>
      <c r="H319" s="106">
        <f>+H312/D312-1</f>
        <v>0.57638888888888884</v>
      </c>
      <c r="I319" s="106">
        <f t="shared" si="617"/>
        <v>0.53112033195020736</v>
      </c>
      <c r="J319" s="106">
        <f t="shared" si="617"/>
        <v>0.45454545454545459</v>
      </c>
      <c r="K319" s="106">
        <f t="shared" si="617"/>
        <v>0.38980263157894735</v>
      </c>
      <c r="L319" s="106">
        <f t="shared" si="617"/>
        <v>0.32305433186490462</v>
      </c>
      <c r="M319" s="106">
        <f t="shared" si="617"/>
        <v>0.29403794037940378</v>
      </c>
      <c r="N319" s="106">
        <f t="shared" si="617"/>
        <v>0.25875000000000004</v>
      </c>
      <c r="O319" s="106">
        <f t="shared" si="617"/>
        <v>0.24970414201183422</v>
      </c>
      <c r="P319" s="106">
        <f t="shared" si="617"/>
        <v>0.23196448390677027</v>
      </c>
      <c r="Q319" s="106">
        <f t="shared" si="617"/>
        <v>0.20942408376963351</v>
      </c>
      <c r="R319" s="106">
        <f t="shared" si="617"/>
        <v>0.18073485600794448</v>
      </c>
      <c r="S319" s="106">
        <f t="shared" si="617"/>
        <v>0.16193181818181812</v>
      </c>
      <c r="T319" s="106">
        <f t="shared" si="617"/>
        <v>0.14954954954954958</v>
      </c>
      <c r="U319" s="106">
        <f t="shared" si="617"/>
        <v>0.14025974025974031</v>
      </c>
      <c r="V319" s="106">
        <f t="shared" si="617"/>
        <v>0.1362489486963836</v>
      </c>
      <c r="W319" s="106">
        <f t="shared" si="617"/>
        <v>0.13610431947840262</v>
      </c>
      <c r="X319" s="106">
        <f t="shared" si="617"/>
        <v>0.1293103448275863</v>
      </c>
      <c r="Y319" s="106">
        <f t="shared" si="617"/>
        <v>0.13135914958238426</v>
      </c>
      <c r="Z319" s="106">
        <f t="shared" si="617"/>
        <v>0.14359733530717977</v>
      </c>
      <c r="AA319" s="106">
        <f t="shared" si="617"/>
        <v>0.14131994261119085</v>
      </c>
      <c r="AB319" s="106">
        <f t="shared" si="617"/>
        <v>0.14781401804302563</v>
      </c>
      <c r="AC319" s="106">
        <f t="shared" si="617"/>
        <v>0.14899328859060401</v>
      </c>
      <c r="AD319" s="106">
        <f t="shared" si="617"/>
        <v>0.15663430420711966</v>
      </c>
      <c r="AE319" s="106">
        <f t="shared" si="617"/>
        <v>0.16844751728472662</v>
      </c>
      <c r="AF319" s="106">
        <f t="shared" si="617"/>
        <v>0.17049576783555009</v>
      </c>
      <c r="AG319" s="106">
        <f t="shared" si="617"/>
        <v>0.17172897196261672</v>
      </c>
      <c r="AH319" s="106">
        <f t="shared" si="617"/>
        <v>0.15948517067711254</v>
      </c>
      <c r="AI319" s="106">
        <f t="shared" si="617"/>
        <v>0.14523937600860681</v>
      </c>
      <c r="AJ319" s="106">
        <f t="shared" si="617"/>
        <v>0.13429752066115697</v>
      </c>
      <c r="AK319" s="106">
        <f t="shared" si="617"/>
        <v>0.11365902293120644</v>
      </c>
      <c r="AL319" s="106">
        <f t="shared" si="617"/>
        <v>9.5559845559845646E-2</v>
      </c>
      <c r="AM319" s="106">
        <f t="shared" si="617"/>
        <v>8.9713480507280341E-2</v>
      </c>
      <c r="AN319" s="106">
        <f t="shared" si="617"/>
        <v>8.1967213114754189E-2</v>
      </c>
      <c r="AO319" s="106">
        <f t="shared" si="617"/>
        <v>8.0572963294538891E-2</v>
      </c>
      <c r="AP319" s="106">
        <f t="shared" si="617"/>
        <v>7.8854625550660806E-2</v>
      </c>
      <c r="AQ319" s="106">
        <f t="shared" si="617"/>
        <v>7.629310344827589E-2</v>
      </c>
      <c r="AR319" s="106">
        <f t="shared" si="617"/>
        <v>9.553872053872059E-2</v>
      </c>
      <c r="AS319" s="106">
        <f t="shared" si="617"/>
        <v>0.11847555923777953</v>
      </c>
      <c r="AT319" s="106">
        <f t="shared" si="617"/>
        <v>0.11882400979991825</v>
      </c>
      <c r="AU319" s="106">
        <f t="shared" si="617"/>
        <v>0.12014417300760916</v>
      </c>
      <c r="AV319" s="106">
        <f t="shared" si="617"/>
        <v>9.565885516711492E-2</v>
      </c>
      <c r="AW319" s="106">
        <f t="shared" si="617"/>
        <v>7.2222222222222188E-2</v>
      </c>
      <c r="AX319" s="106">
        <f t="shared" si="617"/>
        <v>6.2408759124087609E-2</v>
      </c>
      <c r="AY319" s="106">
        <f t="shared" si="617"/>
        <v>4.1115480872363275E-2</v>
      </c>
      <c r="AZ319" s="106">
        <f t="shared" si="617"/>
        <v>2.910238429172507E-2</v>
      </c>
      <c r="BA319" s="106">
        <f t="shared" si="617"/>
        <v>1.3816925734024155E-2</v>
      </c>
      <c r="BB319" s="106">
        <f t="shared" si="617"/>
        <v>1.5802129852284352E-2</v>
      </c>
      <c r="BC319" s="106">
        <f t="shared" si="617"/>
        <v>1.7857142857142794E-2</v>
      </c>
      <c r="BD319" s="106">
        <f t="shared" si="617"/>
        <v>1.8739352640545048E-2</v>
      </c>
      <c r="BE319" s="106">
        <f t="shared" si="617"/>
        <v>3.236797274275971E-2</v>
      </c>
      <c r="BF319" s="106">
        <f t="shared" si="617"/>
        <v>3.1112614135948569E-2</v>
      </c>
      <c r="BG319" s="106">
        <f t="shared" si="617"/>
        <v>3.4075573549257721E-2</v>
      </c>
      <c r="BH319" s="164" t="str">
        <f t="shared" si="619"/>
        <v>n/a</v>
      </c>
      <c r="BI319" s="164" t="str">
        <f t="shared" si="619"/>
        <v>n/a</v>
      </c>
      <c r="BJ319" s="164" t="str">
        <f t="shared" si="619"/>
        <v>n/a</v>
      </c>
      <c r="BK319" s="106"/>
      <c r="BL319" s="106"/>
      <c r="BM319" s="106"/>
      <c r="BN319" s="106"/>
      <c r="BO319" s="106"/>
      <c r="BP319" s="106"/>
      <c r="BQ319" s="106"/>
      <c r="BR319" s="106"/>
      <c r="BS319" s="106"/>
      <c r="BT319" s="106">
        <f t="shared" si="620"/>
        <v>0.68888888888888888</v>
      </c>
      <c r="BU319" s="106">
        <f t="shared" si="620"/>
        <v>0.38980263157894735</v>
      </c>
      <c r="BV319" s="106">
        <f t="shared" si="620"/>
        <v>0.24970414201183422</v>
      </c>
      <c r="BW319" s="106">
        <f t="shared" si="620"/>
        <v>0.12594696969696972</v>
      </c>
      <c r="BX319" s="106">
        <f t="shared" si="620"/>
        <v>0.17241379310344818</v>
      </c>
      <c r="BY319" s="106">
        <f t="shared" si="620"/>
        <v>0.14131994261119085</v>
      </c>
      <c r="BZ319" s="106">
        <f t="shared" si="620"/>
        <v>0.16844751728472662</v>
      </c>
      <c r="CA319" s="106">
        <f t="shared" si="620"/>
        <v>0.14523937600860681</v>
      </c>
      <c r="CB319" s="106">
        <f t="shared" si="620"/>
        <v>8.9713480507280341E-2</v>
      </c>
      <c r="CC319" s="106">
        <f t="shared" si="620"/>
        <v>7.629310344827589E-2</v>
      </c>
      <c r="CD319" s="106">
        <f t="shared" si="620"/>
        <v>0.12014417300760916</v>
      </c>
      <c r="CE319" s="106">
        <f t="shared" si="620"/>
        <v>4.1115480872363275E-2</v>
      </c>
      <c r="CF319" s="106">
        <f t="shared" si="620"/>
        <v>1.7857142857142794E-2</v>
      </c>
      <c r="CG319" s="106">
        <f t="shared" si="620"/>
        <v>3.4075573549257721E-2</v>
      </c>
      <c r="CH319" s="106"/>
      <c r="CI319" s="106"/>
    </row>
    <row r="320" spans="2:87" x14ac:dyDescent="0.2">
      <c r="AK320" s="123" t="s">
        <v>219</v>
      </c>
      <c r="AL320" s="106">
        <f>+AL313/AH312-1</f>
        <v>0.10038610038610041</v>
      </c>
    </row>
    <row r="321" spans="2:87" x14ac:dyDescent="0.2">
      <c r="B321" s="62" t="s">
        <v>257</v>
      </c>
    </row>
    <row r="322" spans="2:87" x14ac:dyDescent="0.2">
      <c r="B322" s="60" t="s">
        <v>214</v>
      </c>
      <c r="E322" s="106">
        <f t="shared" ref="E322:BG322" si="621">+E308/D308-1</f>
        <v>5.3846153846153877E-2</v>
      </c>
      <c r="F322" s="106">
        <f t="shared" si="621"/>
        <v>5.1094890510948954E-2</v>
      </c>
      <c r="G322" s="106">
        <f t="shared" si="621"/>
        <v>6.944444444444442E-2</v>
      </c>
      <c r="H322" s="106">
        <f t="shared" si="621"/>
        <v>5.8441558441558517E-2</v>
      </c>
      <c r="I322" s="106">
        <f t="shared" si="621"/>
        <v>3.6809815950920255E-2</v>
      </c>
      <c r="J322" s="106">
        <f t="shared" si="621"/>
        <v>4.1420118343195256E-2</v>
      </c>
      <c r="K322" s="106">
        <f t="shared" si="621"/>
        <v>1.7045454545454586E-2</v>
      </c>
      <c r="L322" s="106">
        <f t="shared" si="621"/>
        <v>2.2346368715083775E-2</v>
      </c>
      <c r="M322" s="106">
        <f t="shared" si="621"/>
        <v>1.6393442622950838E-2</v>
      </c>
      <c r="N322" s="106">
        <f t="shared" si="621"/>
        <v>1.6129032258064502E-2</v>
      </c>
      <c r="O322" s="106">
        <f t="shared" si="621"/>
        <v>2.1164021164021163E-2</v>
      </c>
      <c r="P322" s="106">
        <f t="shared" si="621"/>
        <v>1.0362694300518172E-2</v>
      </c>
      <c r="Q322" s="106">
        <f t="shared" si="621"/>
        <v>1.538461538461533E-2</v>
      </c>
      <c r="R322" s="106">
        <f t="shared" si="621"/>
        <v>5.050505050504972E-3</v>
      </c>
      <c r="S322" s="106">
        <f t="shared" si="621"/>
        <v>1.0050251256281451E-2</v>
      </c>
      <c r="T322" s="106">
        <f t="shared" si="621"/>
        <v>4.9751243781095411E-3</v>
      </c>
      <c r="U322" s="106">
        <f t="shared" si="621"/>
        <v>9.9009900990099098E-3</v>
      </c>
      <c r="V322" s="106">
        <f t="shared" si="621"/>
        <v>9.8039215686274161E-3</v>
      </c>
      <c r="W322" s="106">
        <f t="shared" si="621"/>
        <v>9.7087378640776656E-3</v>
      </c>
      <c r="X322" s="106">
        <f t="shared" si="621"/>
        <v>9.6153846153845812E-3</v>
      </c>
      <c r="Y322" s="106">
        <f t="shared" si="621"/>
        <v>1.4285714285714235E-2</v>
      </c>
      <c r="Z322" s="106">
        <f t="shared" si="621"/>
        <v>1.8779342723004744E-2</v>
      </c>
      <c r="AA322" s="106">
        <f t="shared" si="621"/>
        <v>9.2165898617511122E-3</v>
      </c>
      <c r="AB322" s="106">
        <f t="shared" si="621"/>
        <v>1.3698630136986356E-2</v>
      </c>
      <c r="AC322" s="106">
        <f t="shared" si="621"/>
        <v>1.8018018018018056E-2</v>
      </c>
      <c r="AD322" s="106">
        <f t="shared" si="621"/>
        <v>1.327433628318575E-2</v>
      </c>
      <c r="AE322" s="106">
        <f t="shared" si="621"/>
        <v>8.733624454148492E-3</v>
      </c>
      <c r="AF322" s="106">
        <f t="shared" si="621"/>
        <v>1.298701298701288E-2</v>
      </c>
      <c r="AG322" s="106">
        <f t="shared" si="621"/>
        <v>8.5470085470085166E-3</v>
      </c>
      <c r="AH322" s="106">
        <f t="shared" si="621"/>
        <v>1.2711864406779627E-2</v>
      </c>
      <c r="AI322" s="106">
        <f t="shared" si="621"/>
        <v>0</v>
      </c>
      <c r="AJ322" s="106">
        <f t="shared" si="621"/>
        <v>8.3682008368199945E-3</v>
      </c>
      <c r="AK322" s="106">
        <f t="shared" si="621"/>
        <v>0</v>
      </c>
      <c r="AL322" s="106">
        <f t="shared" si="621"/>
        <v>4.1493775933609811E-3</v>
      </c>
      <c r="AM322" s="106">
        <f t="shared" si="621"/>
        <v>0</v>
      </c>
      <c r="AN322" s="106">
        <f t="shared" si="621"/>
        <v>4.1322314049587749E-3</v>
      </c>
      <c r="AO322" s="106">
        <f t="shared" si="621"/>
        <v>4.115226337448652E-3</v>
      </c>
      <c r="AP322" s="106">
        <f t="shared" si="621"/>
        <v>1.2295081967213184E-2</v>
      </c>
      <c r="AQ322" s="106">
        <f t="shared" si="621"/>
        <v>4.0485829959513442E-3</v>
      </c>
      <c r="AR322" s="106">
        <f t="shared" si="621"/>
        <v>2.0161290322580738E-2</v>
      </c>
      <c r="AS322" s="106">
        <f t="shared" si="621"/>
        <v>1.1857707509881354E-2</v>
      </c>
      <c r="AT322" s="106">
        <f t="shared" si="621"/>
        <v>-3.90625E-3</v>
      </c>
      <c r="AU322" s="106">
        <f t="shared" si="621"/>
        <v>1.1764705882352899E-2</v>
      </c>
      <c r="AV322" s="106">
        <f t="shared" si="621"/>
        <v>3.8759689922480689E-3</v>
      </c>
      <c r="AW322" s="106">
        <f t="shared" si="621"/>
        <v>0</v>
      </c>
      <c r="AX322" s="106">
        <f t="shared" si="621"/>
        <v>7.7220077220077066E-3</v>
      </c>
      <c r="AY322" s="106">
        <f t="shared" si="621"/>
        <v>3.8314176245211051E-3</v>
      </c>
      <c r="AZ322" s="106">
        <f t="shared" si="621"/>
        <v>3.8167938931297218E-3</v>
      </c>
      <c r="BA322" s="106">
        <f t="shared" si="621"/>
        <v>3.8022813688212143E-3</v>
      </c>
      <c r="BB322" s="106">
        <f t="shared" si="621"/>
        <v>7.575757575757569E-3</v>
      </c>
      <c r="BC322" s="106">
        <f t="shared" si="621"/>
        <v>0</v>
      </c>
      <c r="BD322" s="106">
        <f t="shared" si="621"/>
        <v>1.1278195488721776E-2</v>
      </c>
      <c r="BE322" s="106">
        <f t="shared" si="621"/>
        <v>3.7174721189590088E-3</v>
      </c>
      <c r="BF322" s="106">
        <f t="shared" si="621"/>
        <v>3.7037037037037646E-3</v>
      </c>
      <c r="BG322" s="106">
        <f t="shared" si="621"/>
        <v>3.6900369003689537E-3</v>
      </c>
      <c r="BH322" s="164" t="str">
        <f>+IFERROR(BH308/BG308-1,"n/a")</f>
        <v>n/a</v>
      </c>
      <c r="BI322" s="164" t="str">
        <f>+IFERROR(BI308/BH308-1,"n/a")</f>
        <v>n/a</v>
      </c>
      <c r="BJ322" s="164" t="str">
        <f>+IFERROR(BJ308/BI308-1,"n/a")</f>
        <v>n/a</v>
      </c>
      <c r="BK322" s="106"/>
      <c r="BL322" s="106"/>
      <c r="BM322" s="106"/>
      <c r="BN322" s="106"/>
      <c r="BO322" s="106"/>
      <c r="BP322" s="76"/>
      <c r="BQ322" s="76"/>
      <c r="BR322" s="76"/>
      <c r="BS322" s="76"/>
      <c r="BT322" s="76"/>
      <c r="BU322" s="76"/>
      <c r="BV322" s="76"/>
      <c r="BW322" s="76"/>
      <c r="BX322" s="76"/>
      <c r="BY322" s="76"/>
      <c r="BZ322" s="76"/>
      <c r="CA322" s="76"/>
      <c r="CB322" s="76"/>
      <c r="CC322" s="76"/>
      <c r="CD322" s="76"/>
    </row>
    <row r="323" spans="2:87" x14ac:dyDescent="0.2">
      <c r="B323" s="60" t="s">
        <v>215</v>
      </c>
      <c r="E323" s="106">
        <f t="shared" ref="E323:AL326" si="622">+E309/D309-1</f>
        <v>9.4202898550724612E-2</v>
      </c>
      <c r="F323" s="106">
        <f t="shared" si="622"/>
        <v>0.10596026490066235</v>
      </c>
      <c r="G323" s="106">
        <f t="shared" si="622"/>
        <v>9.5808383233533023E-2</v>
      </c>
      <c r="H323" s="106">
        <f t="shared" si="622"/>
        <v>9.8360655737705027E-2</v>
      </c>
      <c r="I323" s="106">
        <f t="shared" si="622"/>
        <v>5.4726368159204064E-2</v>
      </c>
      <c r="J323" s="106">
        <f t="shared" si="622"/>
        <v>4.2452830188679291E-2</v>
      </c>
      <c r="K323" s="106">
        <f t="shared" si="622"/>
        <v>3.6199095022624528E-2</v>
      </c>
      <c r="L323" s="106">
        <f t="shared" si="622"/>
        <v>4.366812227074246E-2</v>
      </c>
      <c r="M323" s="106">
        <f t="shared" si="622"/>
        <v>2.9288702928870203E-2</v>
      </c>
      <c r="N323" s="106">
        <f t="shared" si="622"/>
        <v>2.8455284552845628E-2</v>
      </c>
      <c r="O323" s="106">
        <f t="shared" si="622"/>
        <v>3.1620553359683834E-2</v>
      </c>
      <c r="P323" s="106">
        <f t="shared" si="622"/>
        <v>3.0651340996168619E-2</v>
      </c>
      <c r="Q323" s="106">
        <f t="shared" si="622"/>
        <v>1.1152416356877248E-2</v>
      </c>
      <c r="R323" s="106">
        <f t="shared" si="622"/>
        <v>1.4705882352941124E-2</v>
      </c>
      <c r="S323" s="106">
        <f t="shared" si="622"/>
        <v>2.1739130434782705E-2</v>
      </c>
      <c r="T323" s="106">
        <f t="shared" si="622"/>
        <v>2.4822695035461084E-2</v>
      </c>
      <c r="U323" s="106">
        <f t="shared" si="622"/>
        <v>1.0380622837370179E-2</v>
      </c>
      <c r="V323" s="106">
        <f t="shared" si="622"/>
        <v>1.3698630136986356E-2</v>
      </c>
      <c r="W323" s="106">
        <f t="shared" si="622"/>
        <v>1.6891891891891886E-2</v>
      </c>
      <c r="X323" s="106">
        <f t="shared" si="622"/>
        <v>1.9933554817275656E-2</v>
      </c>
      <c r="Y323" s="106">
        <f t="shared" si="622"/>
        <v>1.3029315960912058E-2</v>
      </c>
      <c r="Z323" s="106">
        <f t="shared" si="622"/>
        <v>1.2861736334405238E-2</v>
      </c>
      <c r="AA323" s="106">
        <f t="shared" si="622"/>
        <v>2.5396825396825307E-2</v>
      </c>
      <c r="AB323" s="106">
        <f t="shared" si="622"/>
        <v>3.0959752321981338E-2</v>
      </c>
      <c r="AC323" s="106">
        <f t="shared" si="622"/>
        <v>1.501501501501501E-2</v>
      </c>
      <c r="AD323" s="106">
        <f t="shared" si="622"/>
        <v>1.1834319526627279E-2</v>
      </c>
      <c r="AE323" s="106">
        <f t="shared" si="622"/>
        <v>2.0467836257309857E-2</v>
      </c>
      <c r="AF323" s="106">
        <f t="shared" si="622"/>
        <v>1.4326647564469885E-2</v>
      </c>
      <c r="AG323" s="106">
        <f t="shared" si="622"/>
        <v>1.6949152542372836E-2</v>
      </c>
      <c r="AH323" s="106">
        <f t="shared" si="622"/>
        <v>1.1111111111111072E-2</v>
      </c>
      <c r="AI323" s="106">
        <f t="shared" si="622"/>
        <v>1.6483516483516425E-2</v>
      </c>
      <c r="AJ323" s="106">
        <f t="shared" si="622"/>
        <v>1.8918918918918948E-2</v>
      </c>
      <c r="AK323" s="106">
        <f t="shared" si="622"/>
        <v>-2.6525198938992522E-3</v>
      </c>
      <c r="AL323" s="106">
        <f t="shared" si="622"/>
        <v>-2.6595744680850686E-3</v>
      </c>
      <c r="AM323" s="106">
        <f t="shared" ref="AM323:BG323" si="623">+AM309/AL309-1</f>
        <v>1.6000000000000014E-2</v>
      </c>
      <c r="AN323" s="106">
        <f t="shared" si="623"/>
        <v>7.8740157480314821E-3</v>
      </c>
      <c r="AO323" s="106">
        <f t="shared" si="623"/>
        <v>2.6041666666667407E-3</v>
      </c>
      <c r="AP323" s="106">
        <f t="shared" si="623"/>
        <v>5.1948051948051965E-3</v>
      </c>
      <c r="AQ323" s="106">
        <f t="shared" si="623"/>
        <v>1.8087855297157729E-2</v>
      </c>
      <c r="AR323" s="106">
        <f t="shared" si="623"/>
        <v>3.0456852791878264E-2</v>
      </c>
      <c r="AS323" s="106">
        <f t="shared" si="623"/>
        <v>9.8522167487684609E-3</v>
      </c>
      <c r="AT323" s="106">
        <f t="shared" si="623"/>
        <v>7.3170731707317138E-3</v>
      </c>
      <c r="AU323" s="106">
        <f t="shared" si="623"/>
        <v>1.4527845036319542E-2</v>
      </c>
      <c r="AV323" s="106">
        <f t="shared" si="623"/>
        <v>9.5465393794749165E-3</v>
      </c>
      <c r="AW323" s="106">
        <f t="shared" si="623"/>
        <v>-7.0921985815602939E-3</v>
      </c>
      <c r="AX323" s="106">
        <f t="shared" si="623"/>
        <v>7.1428571428571175E-3</v>
      </c>
      <c r="AY323" s="106">
        <f t="shared" si="623"/>
        <v>9.4562647754137252E-3</v>
      </c>
      <c r="AZ323" s="106">
        <f t="shared" si="623"/>
        <v>-2.1077283372365363E-2</v>
      </c>
      <c r="BA323" s="106">
        <f t="shared" si="623"/>
        <v>-2.6315789473684181E-2</v>
      </c>
      <c r="BB323" s="106">
        <f t="shared" si="623"/>
        <v>2.4570024570025328E-3</v>
      </c>
      <c r="BC323" s="106">
        <f t="shared" si="623"/>
        <v>-2.450980392156854E-3</v>
      </c>
      <c r="BD323" s="106">
        <f t="shared" si="623"/>
        <v>9.8280098280099093E-3</v>
      </c>
      <c r="BE323" s="106">
        <f t="shared" si="623"/>
        <v>-4.8661800486617945E-3</v>
      </c>
      <c r="BF323" s="106">
        <f t="shared" si="623"/>
        <v>-2.4449877750610804E-3</v>
      </c>
      <c r="BG323" s="106">
        <f t="shared" si="623"/>
        <v>0</v>
      </c>
      <c r="BH323" s="164" t="str">
        <f t="shared" ref="BH323:BJ326" si="624">+IFERROR(BH309/BG309-1,"n/a")</f>
        <v>n/a</v>
      </c>
      <c r="BI323" s="164" t="str">
        <f t="shared" si="624"/>
        <v>n/a</v>
      </c>
      <c r="BJ323" s="164" t="str">
        <f t="shared" si="624"/>
        <v>n/a</v>
      </c>
      <c r="BK323" s="106"/>
      <c r="BL323" s="106"/>
      <c r="BM323" s="106"/>
      <c r="BN323" s="106"/>
      <c r="BO323" s="106"/>
      <c r="BP323" s="76"/>
      <c r="BQ323" s="76"/>
      <c r="BR323" s="76"/>
      <c r="BS323" s="76"/>
      <c r="BT323" s="76"/>
      <c r="BU323" s="76"/>
      <c r="BV323" s="76"/>
      <c r="BW323" s="76"/>
      <c r="BX323" s="76"/>
      <c r="BY323" s="76"/>
      <c r="BZ323" s="76"/>
      <c r="CA323" s="76"/>
      <c r="CB323" s="76"/>
      <c r="CC323" s="76"/>
      <c r="CD323" s="76"/>
    </row>
    <row r="324" spans="2:87" x14ac:dyDescent="0.2">
      <c r="B324" s="60" t="s">
        <v>216</v>
      </c>
      <c r="E324" s="106">
        <f t="shared" si="622"/>
        <v>0.18518518518518512</v>
      </c>
      <c r="F324" s="106">
        <f t="shared" si="622"/>
        <v>0.17708333333333326</v>
      </c>
      <c r="G324" s="106">
        <f t="shared" si="622"/>
        <v>0.22123893805309724</v>
      </c>
      <c r="H324" s="106">
        <f t="shared" si="622"/>
        <v>0.13043478260869557</v>
      </c>
      <c r="I324" s="106">
        <f t="shared" si="622"/>
        <v>0.11538461538461542</v>
      </c>
      <c r="J324" s="106">
        <f t="shared" si="622"/>
        <v>0.12643678160919536</v>
      </c>
      <c r="K324" s="106">
        <f t="shared" si="622"/>
        <v>8.163265306122458E-2</v>
      </c>
      <c r="L324" s="106">
        <f t="shared" si="622"/>
        <v>0.10377358490566047</v>
      </c>
      <c r="M324" s="106">
        <f t="shared" si="622"/>
        <v>8.9743589743589647E-2</v>
      </c>
      <c r="N324" s="106">
        <f t="shared" si="622"/>
        <v>8.6274509803921484E-2</v>
      </c>
      <c r="O324" s="106">
        <f t="shared" si="622"/>
        <v>7.5812274368231014E-2</v>
      </c>
      <c r="P324" s="106">
        <f t="shared" si="622"/>
        <v>7.0469798657718075E-2</v>
      </c>
      <c r="Q324" s="106">
        <f t="shared" si="622"/>
        <v>6.2695924764890387E-2</v>
      </c>
      <c r="R324" s="106">
        <f t="shared" si="622"/>
        <v>3.539823008849563E-2</v>
      </c>
      <c r="S324" s="106">
        <f t="shared" si="622"/>
        <v>4.8433048433048409E-2</v>
      </c>
      <c r="T324" s="106">
        <f t="shared" si="622"/>
        <v>5.9782608695652106E-2</v>
      </c>
      <c r="U324" s="106">
        <f t="shared" si="622"/>
        <v>5.1282051282051322E-2</v>
      </c>
      <c r="V324" s="106">
        <f t="shared" si="622"/>
        <v>3.9024390243902474E-2</v>
      </c>
      <c r="W324" s="106">
        <f t="shared" si="622"/>
        <v>5.39906103286385E-2</v>
      </c>
      <c r="X324" s="106">
        <f t="shared" si="622"/>
        <v>4.8997772828507813E-2</v>
      </c>
      <c r="Y324" s="106">
        <f t="shared" si="622"/>
        <v>5.2016985138004346E-2</v>
      </c>
      <c r="Z324" s="106">
        <f t="shared" si="622"/>
        <v>5.2472250252270536E-2</v>
      </c>
      <c r="AA324" s="106">
        <f t="shared" si="622"/>
        <v>3.5474592521572479E-2</v>
      </c>
      <c r="AB324" s="106">
        <f t="shared" si="622"/>
        <v>4.8148148148148051E-2</v>
      </c>
      <c r="AC324" s="106">
        <f t="shared" si="622"/>
        <v>4.5936395759717419E-2</v>
      </c>
      <c r="AD324" s="106">
        <f t="shared" si="622"/>
        <v>6.25E-2</v>
      </c>
      <c r="AE324" s="106">
        <f t="shared" si="622"/>
        <v>6.9952305246422819E-2</v>
      </c>
      <c r="AF324" s="106">
        <f t="shared" si="622"/>
        <v>6.3893016344725106E-2</v>
      </c>
      <c r="AG324" s="106">
        <f t="shared" si="622"/>
        <v>5.5865921787709549E-2</v>
      </c>
      <c r="AH324" s="106">
        <f t="shared" si="622"/>
        <v>5.0264550264550234E-2</v>
      </c>
      <c r="AI324" s="106">
        <f t="shared" si="622"/>
        <v>4.2821158690176331E-2</v>
      </c>
      <c r="AJ324" s="106">
        <f t="shared" si="622"/>
        <v>5.4347826086956541E-2</v>
      </c>
      <c r="AK324" s="106">
        <f t="shared" si="622"/>
        <v>2.405498281786933E-2</v>
      </c>
      <c r="AL324" s="106">
        <f t="shared" si="622"/>
        <v>2.5727069351230369E-2</v>
      </c>
      <c r="AM324" s="106">
        <f t="shared" ref="AM324:BG324" si="625">+AM310/AL310-1</f>
        <v>3.2715376226826631E-2</v>
      </c>
      <c r="AN324" s="106">
        <f t="shared" si="625"/>
        <v>3.5902851108764455E-2</v>
      </c>
      <c r="AO324" s="106">
        <f t="shared" si="625"/>
        <v>2.2426095820591296E-2</v>
      </c>
      <c r="AP324" s="106">
        <f t="shared" si="625"/>
        <v>9.9700897308074854E-3</v>
      </c>
      <c r="AQ324" s="106">
        <f t="shared" si="625"/>
        <v>2.4679170779861703E-2</v>
      </c>
      <c r="AR324" s="106">
        <f t="shared" si="625"/>
        <v>5.2986512524084706E-2</v>
      </c>
      <c r="AS324" s="106">
        <f t="shared" si="625"/>
        <v>4.4830741079597392E-2</v>
      </c>
      <c r="AT324" s="106">
        <f t="shared" si="625"/>
        <v>2.1015761821365997E-2</v>
      </c>
      <c r="AU324" s="106">
        <f t="shared" si="625"/>
        <v>2.8301886792452935E-2</v>
      </c>
      <c r="AV324" s="106">
        <f t="shared" si="625"/>
        <v>2.5854879065888348E-2</v>
      </c>
      <c r="AW324" s="106">
        <f t="shared" si="625"/>
        <v>2.8455284552845628E-2</v>
      </c>
      <c r="AX324" s="106">
        <f t="shared" si="625"/>
        <v>1.0276679841897174E-2</v>
      </c>
      <c r="AY324" s="106">
        <f t="shared" si="625"/>
        <v>0</v>
      </c>
      <c r="AZ324" s="106">
        <f t="shared" si="625"/>
        <v>1.4866979655712154E-2</v>
      </c>
      <c r="BA324" s="106">
        <f t="shared" si="625"/>
        <v>6.168080185042335E-3</v>
      </c>
      <c r="BB324" s="106">
        <f t="shared" si="625"/>
        <v>5.3639846743294139E-3</v>
      </c>
      <c r="BC324" s="106">
        <f t="shared" si="625"/>
        <v>0</v>
      </c>
      <c r="BD324" s="106">
        <f t="shared" si="625"/>
        <v>9.1463414634145312E-3</v>
      </c>
      <c r="BE324" s="106">
        <f t="shared" si="625"/>
        <v>1.8882175226586195E-2</v>
      </c>
      <c r="BF324" s="106">
        <f t="shared" si="625"/>
        <v>5.9303187546331237E-3</v>
      </c>
      <c r="BG324" s="106">
        <f t="shared" si="625"/>
        <v>7.3691967575533202E-3</v>
      </c>
      <c r="BH324" s="164" t="str">
        <f t="shared" si="624"/>
        <v>n/a</v>
      </c>
      <c r="BI324" s="164" t="str">
        <f t="shared" si="624"/>
        <v>n/a</v>
      </c>
      <c r="BJ324" s="164" t="str">
        <f t="shared" si="624"/>
        <v>n/a</v>
      </c>
      <c r="BK324" s="106"/>
      <c r="BL324" s="106"/>
      <c r="BM324" s="106"/>
      <c r="BN324" s="106"/>
      <c r="BO324" s="106"/>
      <c r="BP324" s="76"/>
      <c r="BQ324" s="76"/>
      <c r="BR324" s="76"/>
      <c r="BS324" s="76"/>
      <c r="BT324" s="76"/>
      <c r="BU324" s="76"/>
      <c r="BV324" s="76"/>
      <c r="BW324" s="76"/>
      <c r="BX324" s="76"/>
      <c r="BY324" s="76"/>
      <c r="BZ324" s="76"/>
      <c r="CA324" s="76"/>
      <c r="CB324" s="76"/>
      <c r="CC324" s="76"/>
      <c r="CD324" s="76"/>
    </row>
    <row r="325" spans="2:87" ht="13.5" x14ac:dyDescent="0.35">
      <c r="B325" s="60" t="s">
        <v>217</v>
      </c>
      <c r="E325" s="108">
        <f t="shared" si="622"/>
        <v>0.18072289156626509</v>
      </c>
      <c r="F325" s="108">
        <f t="shared" si="622"/>
        <v>0.28571428571428581</v>
      </c>
      <c r="G325" s="108">
        <f t="shared" si="622"/>
        <v>5.555555555555558E-2</v>
      </c>
      <c r="H325" s="108">
        <f t="shared" si="622"/>
        <v>0.21052631578947367</v>
      </c>
      <c r="I325" s="108">
        <f t="shared" si="622"/>
        <v>0.13664596273291929</v>
      </c>
      <c r="J325" s="108">
        <f t="shared" si="622"/>
        <v>0.13114754098360648</v>
      </c>
      <c r="K325" s="108">
        <f t="shared" si="622"/>
        <v>8.6956521739130377E-2</v>
      </c>
      <c r="L325" s="108">
        <f t="shared" si="622"/>
        <v>8.8888888888888795E-2</v>
      </c>
      <c r="M325" s="108">
        <f t="shared" si="622"/>
        <v>9.3877551020408179E-2</v>
      </c>
      <c r="N325" s="108">
        <f t="shared" si="622"/>
        <v>7.4626865671641784E-2</v>
      </c>
      <c r="O325" s="108">
        <f t="shared" si="622"/>
        <v>5.555555555555558E-2</v>
      </c>
      <c r="P325" s="108">
        <f t="shared" si="622"/>
        <v>7.5657894736842035E-2</v>
      </c>
      <c r="Q325" s="108">
        <f t="shared" si="622"/>
        <v>5.8103975535168217E-2</v>
      </c>
      <c r="R325" s="108">
        <f t="shared" si="622"/>
        <v>4.9132947976878505E-2</v>
      </c>
      <c r="S325" s="108">
        <f t="shared" si="622"/>
        <v>3.5812672176308569E-2</v>
      </c>
      <c r="T325" s="108">
        <f t="shared" si="622"/>
        <v>5.0531914893616969E-2</v>
      </c>
      <c r="U325" s="108">
        <f t="shared" si="622"/>
        <v>4.0506329113924044E-2</v>
      </c>
      <c r="V325" s="108">
        <f t="shared" si="622"/>
        <v>2.9197080291970767E-2</v>
      </c>
      <c r="W325" s="108">
        <f t="shared" si="622"/>
        <v>3.0732860520094496E-2</v>
      </c>
      <c r="X325" s="108">
        <f t="shared" si="622"/>
        <v>3.8990825688073327E-2</v>
      </c>
      <c r="Y325" s="108">
        <f t="shared" si="622"/>
        <v>3.8631346578366532E-2</v>
      </c>
      <c r="Z325" s="108">
        <f t="shared" si="622"/>
        <v>4.4633368756641811E-2</v>
      </c>
      <c r="AA325" s="108">
        <f t="shared" si="622"/>
        <v>3.560528992878953E-2</v>
      </c>
      <c r="AB325" s="108">
        <f t="shared" si="622"/>
        <v>4.7151277013752546E-2</v>
      </c>
      <c r="AC325" s="108">
        <f t="shared" si="622"/>
        <v>4.3151969981238381E-2</v>
      </c>
      <c r="AD325" s="108">
        <f t="shared" si="622"/>
        <v>5.5755395683453335E-2</v>
      </c>
      <c r="AE325" s="108">
        <f t="shared" si="622"/>
        <v>3.236797274275971E-2</v>
      </c>
      <c r="AF325" s="108">
        <f t="shared" si="622"/>
        <v>4.2904290429042868E-2</v>
      </c>
      <c r="AG325" s="108">
        <f t="shared" si="622"/>
        <v>3.4810126582278444E-2</v>
      </c>
      <c r="AH325" s="108">
        <f t="shared" si="622"/>
        <v>3.2110091743119185E-2</v>
      </c>
      <c r="AI325" s="108">
        <f t="shared" si="622"/>
        <v>2.5185185185185199E-2</v>
      </c>
      <c r="AJ325" s="108">
        <f t="shared" si="622"/>
        <v>1.8786127167629951E-2</v>
      </c>
      <c r="AK325" s="108">
        <f t="shared" si="622"/>
        <v>2.5531914893617058E-2</v>
      </c>
      <c r="AL325" s="108">
        <f t="shared" si="622"/>
        <v>1.7980636237897585E-2</v>
      </c>
      <c r="AM325" s="108">
        <f t="shared" ref="AM325:BG325" si="626">+AM311/AL311-1</f>
        <v>1.9021739130434812E-2</v>
      </c>
      <c r="AN325" s="108">
        <f t="shared" si="626"/>
        <v>2.4000000000000021E-2</v>
      </c>
      <c r="AO325" s="108">
        <f t="shared" si="626"/>
        <v>1.8229166666666741E-2</v>
      </c>
      <c r="AP325" s="108">
        <f t="shared" si="626"/>
        <v>2.5575447570332477E-2</v>
      </c>
      <c r="AQ325" s="108">
        <f t="shared" si="626"/>
        <v>1.8703241895261735E-2</v>
      </c>
      <c r="AR325" s="108">
        <f t="shared" si="626"/>
        <v>4.1615667074663465E-2</v>
      </c>
      <c r="AS325" s="108">
        <f t="shared" si="626"/>
        <v>4.817861339600471E-2</v>
      </c>
      <c r="AT325" s="108">
        <f t="shared" si="626"/>
        <v>1.5695067264573925E-2</v>
      </c>
      <c r="AU325" s="108">
        <f t="shared" si="626"/>
        <v>1.655629139072845E-2</v>
      </c>
      <c r="AV325" s="108">
        <f t="shared" si="626"/>
        <v>2.0629750271444092E-2</v>
      </c>
      <c r="AW325" s="108">
        <f t="shared" si="626"/>
        <v>1.1702127659574568E-2</v>
      </c>
      <c r="AX325" s="108">
        <f t="shared" si="626"/>
        <v>-2.103049421661396E-3</v>
      </c>
      <c r="AY325" s="108">
        <f t="shared" si="626"/>
        <v>-4.2149631190726566E-3</v>
      </c>
      <c r="AZ325" s="108">
        <f t="shared" si="626"/>
        <v>1.2698412698412653E-2</v>
      </c>
      <c r="BA325" s="108">
        <f t="shared" si="626"/>
        <v>2.089864158829613E-3</v>
      </c>
      <c r="BB325" s="108">
        <f t="shared" si="626"/>
        <v>1.2513034410844615E-2</v>
      </c>
      <c r="BC325" s="108">
        <f t="shared" si="626"/>
        <v>8.2389289392379439E-3</v>
      </c>
      <c r="BD325" s="108">
        <f t="shared" si="626"/>
        <v>7.1501532175688443E-3</v>
      </c>
      <c r="BE325" s="108">
        <f t="shared" si="626"/>
        <v>1.6227180527383478E-2</v>
      </c>
      <c r="BF325" s="108">
        <f t="shared" si="626"/>
        <v>1.0978043912175606E-2</v>
      </c>
      <c r="BG325" s="108">
        <f t="shared" si="626"/>
        <v>4.9358341559724295E-3</v>
      </c>
      <c r="BH325" s="134" t="str">
        <f t="shared" si="624"/>
        <v>n/a</v>
      </c>
      <c r="BI325" s="134" t="str">
        <f t="shared" si="624"/>
        <v>n/a</v>
      </c>
      <c r="BJ325" s="134" t="str">
        <f t="shared" si="624"/>
        <v>n/a</v>
      </c>
      <c r="BK325" s="108"/>
      <c r="BL325" s="108"/>
      <c r="BM325" s="108"/>
      <c r="BN325" s="108"/>
      <c r="BO325" s="108"/>
      <c r="BP325" s="76"/>
      <c r="BQ325" s="76"/>
      <c r="BR325" s="76"/>
      <c r="BS325" s="76"/>
      <c r="BT325" s="76"/>
      <c r="BU325" s="76"/>
      <c r="BV325" s="76"/>
      <c r="BW325" s="76"/>
      <c r="BX325" s="76"/>
      <c r="BY325" s="76"/>
      <c r="BZ325" s="76"/>
      <c r="CA325" s="76"/>
      <c r="CB325" s="76"/>
      <c r="CC325" s="76"/>
      <c r="CD325" s="76"/>
    </row>
    <row r="326" spans="2:87" x14ac:dyDescent="0.2">
      <c r="B326" s="101" t="s">
        <v>261</v>
      </c>
      <c r="E326" s="106">
        <f t="shared" si="622"/>
        <v>0.1157407407407407</v>
      </c>
      <c r="F326" s="106">
        <f t="shared" si="622"/>
        <v>0.1410788381742738</v>
      </c>
      <c r="G326" s="106">
        <f t="shared" si="622"/>
        <v>0.10545454545454547</v>
      </c>
      <c r="H326" s="106">
        <f t="shared" si="622"/>
        <v>0.12006578947368429</v>
      </c>
      <c r="I326" s="106">
        <f t="shared" si="622"/>
        <v>8.3700440528634346E-2</v>
      </c>
      <c r="J326" s="106">
        <f t="shared" si="622"/>
        <v>8.4010840108400986E-2</v>
      </c>
      <c r="K326" s="106">
        <f t="shared" si="622"/>
        <v>5.6249999999999911E-2</v>
      </c>
      <c r="L326" s="106">
        <f t="shared" si="622"/>
        <v>6.6272189349112498E-2</v>
      </c>
      <c r="M326" s="106">
        <f t="shared" si="622"/>
        <v>5.9933407325194255E-2</v>
      </c>
      <c r="N326" s="106">
        <f t="shared" si="622"/>
        <v>5.4450261780104814E-2</v>
      </c>
      <c r="O326" s="106">
        <f t="shared" si="622"/>
        <v>4.8659384309831077E-2</v>
      </c>
      <c r="P326" s="106">
        <f t="shared" si="622"/>
        <v>5.1136363636363535E-2</v>
      </c>
      <c r="Q326" s="106">
        <f t="shared" si="622"/>
        <v>4.0540540540540571E-2</v>
      </c>
      <c r="R326" s="106">
        <f t="shared" si="622"/>
        <v>2.9437229437229373E-2</v>
      </c>
      <c r="S326" s="106">
        <f t="shared" si="622"/>
        <v>3.1959629941126888E-2</v>
      </c>
      <c r="T326" s="106">
        <f t="shared" si="622"/>
        <v>3.9934800325998276E-2</v>
      </c>
      <c r="U326" s="106">
        <f t="shared" si="622"/>
        <v>3.2131661442006187E-2</v>
      </c>
      <c r="V326" s="106">
        <f t="shared" si="622"/>
        <v>2.5816249050873097E-2</v>
      </c>
      <c r="W326" s="106">
        <f t="shared" si="622"/>
        <v>3.1828275351591495E-2</v>
      </c>
      <c r="X326" s="106">
        <f t="shared" si="622"/>
        <v>3.3715925394548041E-2</v>
      </c>
      <c r="Y326" s="106">
        <f t="shared" si="622"/>
        <v>3.4004163775156249E-2</v>
      </c>
      <c r="Z326" s="106">
        <f t="shared" si="622"/>
        <v>3.691275167785224E-2</v>
      </c>
      <c r="AA326" s="106">
        <f t="shared" si="622"/>
        <v>2.9773462783171611E-2</v>
      </c>
      <c r="AB326" s="106">
        <f t="shared" si="622"/>
        <v>3.9597737272155875E-2</v>
      </c>
      <c r="AC326" s="106">
        <f t="shared" si="622"/>
        <v>3.5066505441354368E-2</v>
      </c>
      <c r="AD326" s="106">
        <f t="shared" si="622"/>
        <v>4.3808411214953269E-2</v>
      </c>
      <c r="AE326" s="106">
        <f t="shared" si="622"/>
        <v>4.0290990486849365E-2</v>
      </c>
      <c r="AF326" s="106">
        <f t="shared" si="622"/>
        <v>4.1420118343195256E-2</v>
      </c>
      <c r="AG326" s="106">
        <f t="shared" si="622"/>
        <v>3.6157024793388448E-2</v>
      </c>
      <c r="AH326" s="106">
        <f t="shared" si="622"/>
        <v>3.2901296111665035E-2</v>
      </c>
      <c r="AI326" s="106">
        <f t="shared" si="622"/>
        <v>2.7509652509652538E-2</v>
      </c>
      <c r="AJ326" s="106">
        <f t="shared" si="622"/>
        <v>3.1470173790511868E-2</v>
      </c>
      <c r="AK326" s="106">
        <f t="shared" si="622"/>
        <v>1.7304189435336959E-2</v>
      </c>
      <c r="AL326" s="106">
        <f t="shared" si="622"/>
        <v>1.6114592658907689E-2</v>
      </c>
      <c r="AM326" s="106">
        <f t="shared" ref="AM326:BG326" si="627">+AM312/AL312-1</f>
        <v>2.2026431718061623E-2</v>
      </c>
      <c r="AN326" s="106">
        <f t="shared" si="627"/>
        <v>2.4137931034482696E-2</v>
      </c>
      <c r="AO326" s="106">
        <f t="shared" si="627"/>
        <v>1.5993265993266004E-2</v>
      </c>
      <c r="AP326" s="106">
        <f t="shared" si="627"/>
        <v>1.4498757249378658E-2</v>
      </c>
      <c r="AQ326" s="106">
        <f t="shared" si="627"/>
        <v>1.959983666802767E-2</v>
      </c>
      <c r="AR326" s="106">
        <f t="shared" si="627"/>
        <v>4.2450941129355213E-2</v>
      </c>
      <c r="AS326" s="106">
        <f t="shared" si="627"/>
        <v>3.7264694583173164E-2</v>
      </c>
      <c r="AT326" s="106">
        <f t="shared" si="627"/>
        <v>1.4814814814814836E-2</v>
      </c>
      <c r="AU326" s="106">
        <f t="shared" si="627"/>
        <v>2.0802919708029277E-2</v>
      </c>
      <c r="AV326" s="106">
        <f t="shared" si="627"/>
        <v>1.9663925634608503E-2</v>
      </c>
      <c r="AW326" s="106">
        <f t="shared" si="627"/>
        <v>1.5077138849929783E-2</v>
      </c>
      <c r="AX326" s="106">
        <f t="shared" si="627"/>
        <v>5.5267702936097063E-3</v>
      </c>
      <c r="AY326" s="106">
        <f t="shared" si="627"/>
        <v>3.435245620062588E-4</v>
      </c>
      <c r="AZ326" s="106">
        <f t="shared" si="627"/>
        <v>7.8983516483517313E-3</v>
      </c>
      <c r="BA326" s="106">
        <f t="shared" si="627"/>
        <v>0</v>
      </c>
      <c r="BB326" s="106">
        <f t="shared" si="627"/>
        <v>7.4957410562179749E-3</v>
      </c>
      <c r="BC326" s="106">
        <f t="shared" si="627"/>
        <v>2.367264119039536E-3</v>
      </c>
      <c r="BD326" s="106">
        <f t="shared" si="627"/>
        <v>8.7719298245614308E-3</v>
      </c>
      <c r="BE326" s="106">
        <f t="shared" si="627"/>
        <v>1.3377926421404673E-2</v>
      </c>
      <c r="BF326" s="106">
        <f t="shared" si="627"/>
        <v>6.2706270627062022E-3</v>
      </c>
      <c r="BG326" s="106">
        <f t="shared" si="627"/>
        <v>5.2476221712036697E-3</v>
      </c>
      <c r="BH326" s="164" t="str">
        <f t="shared" si="624"/>
        <v>n/a</v>
      </c>
      <c r="BI326" s="164" t="str">
        <f t="shared" si="624"/>
        <v>n/a</v>
      </c>
      <c r="BJ326" s="164" t="str">
        <f t="shared" si="624"/>
        <v>n/a</v>
      </c>
      <c r="BK326" s="106"/>
      <c r="BL326" s="106"/>
      <c r="BM326" s="106"/>
      <c r="BN326" s="106"/>
      <c r="BO326" s="106"/>
      <c r="BP326" s="76"/>
      <c r="BQ326" s="76"/>
      <c r="BR326" s="76"/>
      <c r="BS326" s="76"/>
      <c r="BT326" s="76"/>
      <c r="BU326" s="76"/>
      <c r="BV326" s="76"/>
      <c r="BW326" s="76"/>
      <c r="BX326" s="76"/>
      <c r="BY326" s="76"/>
      <c r="BZ326" s="76"/>
      <c r="CA326" s="76"/>
      <c r="CB326" s="76"/>
      <c r="CC326" s="76"/>
      <c r="CD326" s="76"/>
    </row>
    <row r="327" spans="2:87" x14ac:dyDescent="0.2">
      <c r="AK327" s="123" t="s">
        <v>219</v>
      </c>
      <c r="AL327" s="106">
        <f>+AL313/AK312-1</f>
        <v>2.0590868397493356E-2</v>
      </c>
    </row>
    <row r="328" spans="2:87" x14ac:dyDescent="0.2">
      <c r="B328" s="54" t="s">
        <v>262</v>
      </c>
    </row>
    <row r="329" spans="2:87" x14ac:dyDescent="0.2">
      <c r="B329" t="s">
        <v>214</v>
      </c>
      <c r="D329" s="124">
        <f t="shared" ref="D329:AW329" si="628">+D287/D308</f>
        <v>0.63076923076923075</v>
      </c>
      <c r="E329" s="124">
        <f t="shared" si="628"/>
        <v>0.62043795620437958</v>
      </c>
      <c r="F329" s="124">
        <f t="shared" si="628"/>
        <v>0.63888888888888884</v>
      </c>
      <c r="G329" s="124">
        <f t="shared" si="628"/>
        <v>0.6428571428571429</v>
      </c>
      <c r="H329" s="124">
        <f t="shared" si="628"/>
        <v>0.64417177914110424</v>
      </c>
      <c r="I329" s="124">
        <f t="shared" si="628"/>
        <v>0.69230769230769229</v>
      </c>
      <c r="J329" s="124">
        <f t="shared" si="628"/>
        <v>0.70454545454545459</v>
      </c>
      <c r="K329" s="124">
        <f t="shared" si="628"/>
        <v>0.7039106145251397</v>
      </c>
      <c r="L329" s="124">
        <f t="shared" si="628"/>
        <v>0.70491803278688525</v>
      </c>
      <c r="M329" s="124">
        <f t="shared" si="628"/>
        <v>0.69892473118279574</v>
      </c>
      <c r="N329" s="124">
        <f t="shared" si="628"/>
        <v>0.69841269841269837</v>
      </c>
      <c r="O329" s="124">
        <f t="shared" si="628"/>
        <v>0.69948186528497414</v>
      </c>
      <c r="P329" s="124">
        <f t="shared" si="628"/>
        <v>0.71282051282051284</v>
      </c>
      <c r="Q329" s="124">
        <f t="shared" si="628"/>
        <v>0.71717171717171713</v>
      </c>
      <c r="R329" s="124">
        <f t="shared" si="628"/>
        <v>0.72361809045226133</v>
      </c>
      <c r="S329" s="124">
        <f t="shared" si="628"/>
        <v>0.73134328358208955</v>
      </c>
      <c r="T329" s="124">
        <f t="shared" si="628"/>
        <v>0.74257425742574257</v>
      </c>
      <c r="U329" s="124">
        <f t="shared" si="628"/>
        <v>0.74509803921568629</v>
      </c>
      <c r="V329" s="124">
        <f t="shared" si="628"/>
        <v>0.75242718446601942</v>
      </c>
      <c r="W329" s="124">
        <f t="shared" si="628"/>
        <v>0.75480769230769229</v>
      </c>
      <c r="X329" s="124">
        <f t="shared" si="628"/>
        <v>0.76666666666666672</v>
      </c>
      <c r="Y329" s="124">
        <f t="shared" si="628"/>
        <v>0.7699530516431925</v>
      </c>
      <c r="Z329" s="124">
        <f t="shared" si="628"/>
        <v>0.7695852534562212</v>
      </c>
      <c r="AA329" s="124">
        <f t="shared" si="628"/>
        <v>0.77168949771689499</v>
      </c>
      <c r="AB329" s="124">
        <f t="shared" si="628"/>
        <v>0.77815315315315314</v>
      </c>
      <c r="AC329" s="124">
        <f t="shared" si="628"/>
        <v>0.77433628318584069</v>
      </c>
      <c r="AD329" s="124">
        <f t="shared" si="628"/>
        <v>0.77729257641921401</v>
      </c>
      <c r="AE329" s="124">
        <f t="shared" si="628"/>
        <v>0.77922077922077926</v>
      </c>
      <c r="AF329" s="124">
        <f t="shared" si="628"/>
        <v>0.77777777777777779</v>
      </c>
      <c r="AG329" s="124">
        <f t="shared" si="628"/>
        <v>0.77542372881355937</v>
      </c>
      <c r="AH329" s="124">
        <f t="shared" si="628"/>
        <v>0.77405857740585771</v>
      </c>
      <c r="AI329" s="124">
        <f t="shared" si="628"/>
        <v>0.76987447698744771</v>
      </c>
      <c r="AJ329" s="124">
        <f t="shared" si="628"/>
        <v>0.76763485477178428</v>
      </c>
      <c r="AK329" s="124">
        <f t="shared" si="628"/>
        <v>0.76763485477178428</v>
      </c>
      <c r="AL329" s="124">
        <f t="shared" si="628"/>
        <v>0.76446280991735538</v>
      </c>
      <c r="AM329" s="124">
        <f t="shared" si="628"/>
        <v>0.76859504132231404</v>
      </c>
      <c r="AN329" s="124">
        <f t="shared" si="628"/>
        <v>0.76543209876543206</v>
      </c>
      <c r="AO329" s="124">
        <f t="shared" si="628"/>
        <v>0.76639344262295084</v>
      </c>
      <c r="AP329" s="124">
        <f t="shared" si="628"/>
        <v>0.76518218623481782</v>
      </c>
      <c r="AQ329" s="124">
        <f t="shared" si="628"/>
        <v>0.7661290322580645</v>
      </c>
      <c r="AR329" s="124">
        <f t="shared" si="628"/>
        <v>0.77075098814229248</v>
      </c>
      <c r="AS329" s="124">
        <f t="shared" si="628"/>
        <v>0.7734375</v>
      </c>
      <c r="AT329" s="124">
        <f t="shared" si="628"/>
        <v>0.7686274509803922</v>
      </c>
      <c r="AU329" s="124">
        <f t="shared" si="628"/>
        <v>0.7558139534883721</v>
      </c>
      <c r="AV329" s="124">
        <f t="shared" si="628"/>
        <v>0.75289575289575295</v>
      </c>
      <c r="AW329" s="124">
        <f t="shared" si="628"/>
        <v>0.75289575289575295</v>
      </c>
      <c r="AX329" s="124">
        <f t="shared" ref="AX329:BG329" si="629">+AX287/AX308</f>
        <v>0.75095785440613028</v>
      </c>
      <c r="AY329" s="124">
        <f t="shared" si="629"/>
        <v>0.74427480916030531</v>
      </c>
      <c r="AZ329" s="124">
        <f t="shared" si="629"/>
        <v>0.74524714828897343</v>
      </c>
      <c r="BA329" s="124">
        <f t="shared" si="629"/>
        <v>0.74621212121212122</v>
      </c>
      <c r="BB329" s="124">
        <f t="shared" si="629"/>
        <v>0.74060150375939848</v>
      </c>
      <c r="BC329" s="124">
        <f t="shared" si="629"/>
        <v>0.74812030075187974</v>
      </c>
      <c r="BD329" s="124">
        <f t="shared" si="629"/>
        <v>0.74349442379182151</v>
      </c>
      <c r="BE329" s="124">
        <f t="shared" si="629"/>
        <v>0.74814814814814812</v>
      </c>
      <c r="BF329" s="124">
        <f t="shared" si="629"/>
        <v>0.74907749077490771</v>
      </c>
      <c r="BG329" s="124">
        <f t="shared" si="629"/>
        <v>0.75367647058823528</v>
      </c>
      <c r="BH329" s="213" t="str">
        <f>+IFERROR(BH287/BH308,"n/a")</f>
        <v>n/a</v>
      </c>
      <c r="BI329" s="213" t="str">
        <f>+IFERROR(BI287/BI308,"n/a")</f>
        <v>n/a</v>
      </c>
      <c r="BJ329" s="213" t="str">
        <f>+IFERROR(BJ287/BJ308,"n/a")</f>
        <v>n/a</v>
      </c>
      <c r="BK329" s="124"/>
      <c r="BL329" s="124"/>
      <c r="BM329" s="124"/>
      <c r="BN329" s="124"/>
      <c r="BO329" s="124"/>
      <c r="BP329" s="124"/>
      <c r="BQ329" s="124"/>
      <c r="BR329" s="124"/>
      <c r="BS329" s="124">
        <f t="shared" ref="BS329:CD329" si="630">+BS287/BS308</f>
        <v>0.5714285714285714</v>
      </c>
      <c r="BT329" s="124">
        <f t="shared" si="630"/>
        <v>0.6428571428571429</v>
      </c>
      <c r="BU329" s="124">
        <f t="shared" si="630"/>
        <v>0.7039106145251397</v>
      </c>
      <c r="BV329" s="124">
        <f t="shared" si="630"/>
        <v>0.69948186528497414</v>
      </c>
      <c r="BW329" s="124">
        <f t="shared" si="630"/>
        <v>0.72361809045226133</v>
      </c>
      <c r="BX329" s="124">
        <f t="shared" si="630"/>
        <v>0.75480769230769229</v>
      </c>
      <c r="BY329" s="124">
        <f t="shared" si="630"/>
        <v>0.77168949771689499</v>
      </c>
      <c r="BZ329" s="124">
        <f t="shared" si="630"/>
        <v>0.77922077922077926</v>
      </c>
      <c r="CA329" s="124">
        <f t="shared" si="630"/>
        <v>0.76987447698744771</v>
      </c>
      <c r="CB329" s="124">
        <f t="shared" si="630"/>
        <v>0.76859504132231404</v>
      </c>
      <c r="CC329" s="124">
        <f t="shared" si="630"/>
        <v>0.7661290322580645</v>
      </c>
      <c r="CD329" s="124">
        <f t="shared" si="630"/>
        <v>0.7558139534883721</v>
      </c>
      <c r="CE329" s="124">
        <f t="shared" ref="CE329:CG333" si="631">+CE287/CE308</f>
        <v>0.74427480916030531</v>
      </c>
      <c r="CF329" s="124">
        <f t="shared" si="631"/>
        <v>0.74812030075187974</v>
      </c>
      <c r="CG329" s="124">
        <f t="shared" si="631"/>
        <v>0.75367647058823528</v>
      </c>
      <c r="CH329" s="124"/>
      <c r="CI329" s="124"/>
    </row>
    <row r="330" spans="2:87" x14ac:dyDescent="0.2">
      <c r="B330" t="s">
        <v>215</v>
      </c>
      <c r="D330" s="124">
        <f t="shared" ref="D330:AW330" si="632">+D288/D309</f>
        <v>0.57246376811594202</v>
      </c>
      <c r="E330" s="124">
        <f t="shared" si="632"/>
        <v>0.5629139072847682</v>
      </c>
      <c r="F330" s="124">
        <f t="shared" si="632"/>
        <v>0.56287425149700598</v>
      </c>
      <c r="G330" s="124">
        <f t="shared" si="632"/>
        <v>0.58469945355191255</v>
      </c>
      <c r="H330" s="124">
        <f t="shared" si="632"/>
        <v>0.59701492537313428</v>
      </c>
      <c r="I330" s="124">
        <f t="shared" si="632"/>
        <v>0.59905660377358494</v>
      </c>
      <c r="J330" s="124">
        <f t="shared" si="632"/>
        <v>0.61085972850678738</v>
      </c>
      <c r="K330" s="124">
        <f t="shared" si="632"/>
        <v>0.62445414847161573</v>
      </c>
      <c r="L330" s="124">
        <f t="shared" si="632"/>
        <v>0.63598326359832635</v>
      </c>
      <c r="M330" s="124">
        <f t="shared" si="632"/>
        <v>0.62601626016260159</v>
      </c>
      <c r="N330" s="124">
        <f t="shared" si="632"/>
        <v>0.6324110671936759</v>
      </c>
      <c r="O330" s="124">
        <f t="shared" si="632"/>
        <v>0.64750957854406133</v>
      </c>
      <c r="P330" s="124">
        <f t="shared" si="632"/>
        <v>0.66542750929368033</v>
      </c>
      <c r="Q330" s="124">
        <f t="shared" si="632"/>
        <v>0.66911764705882348</v>
      </c>
      <c r="R330" s="124">
        <f t="shared" si="632"/>
        <v>0.6811594202898551</v>
      </c>
      <c r="S330" s="124">
        <f t="shared" si="632"/>
        <v>0.69148936170212771</v>
      </c>
      <c r="T330" s="124">
        <f t="shared" si="632"/>
        <v>0.70242214532871972</v>
      </c>
      <c r="U330" s="124">
        <f t="shared" si="632"/>
        <v>0.70547945205479456</v>
      </c>
      <c r="V330" s="124">
        <f t="shared" si="632"/>
        <v>0.71621621621621623</v>
      </c>
      <c r="W330" s="124">
        <f t="shared" si="632"/>
        <v>0.72093023255813948</v>
      </c>
      <c r="X330" s="124">
        <f t="shared" si="632"/>
        <v>0.73289902280130292</v>
      </c>
      <c r="Y330" s="124">
        <f t="shared" si="632"/>
        <v>0.73311897106109325</v>
      </c>
      <c r="Z330" s="124">
        <f t="shared" si="632"/>
        <v>0.73968253968253972</v>
      </c>
      <c r="AA330" s="124">
        <f t="shared" si="632"/>
        <v>0.74303405572755421</v>
      </c>
      <c r="AB330" s="124">
        <f t="shared" si="632"/>
        <v>0.74699699699699695</v>
      </c>
      <c r="AC330" s="124">
        <f t="shared" si="632"/>
        <v>0.74556213017751483</v>
      </c>
      <c r="AD330" s="124">
        <f t="shared" si="632"/>
        <v>0.74853801169590639</v>
      </c>
      <c r="AE330" s="124">
        <f t="shared" si="632"/>
        <v>0.75071633237822355</v>
      </c>
      <c r="AF330" s="124">
        <f t="shared" si="632"/>
        <v>0.75423728813559321</v>
      </c>
      <c r="AG330" s="124">
        <f t="shared" si="632"/>
        <v>0.75277777777777777</v>
      </c>
      <c r="AH330" s="124">
        <f t="shared" si="632"/>
        <v>0.75274725274725274</v>
      </c>
      <c r="AI330" s="124">
        <f t="shared" si="632"/>
        <v>0.74864864864864866</v>
      </c>
      <c r="AJ330" s="124">
        <f t="shared" si="632"/>
        <v>0.74801061007957559</v>
      </c>
      <c r="AK330" s="124">
        <f t="shared" si="632"/>
        <v>0.74202127659574468</v>
      </c>
      <c r="AL330" s="124">
        <f t="shared" si="632"/>
        <v>0.74133333333333329</v>
      </c>
      <c r="AM330" s="124">
        <f t="shared" si="632"/>
        <v>0.74015748031496065</v>
      </c>
      <c r="AN330" s="124">
        <f t="shared" si="632"/>
        <v>0.74479166666666663</v>
      </c>
      <c r="AO330" s="124">
        <f t="shared" si="632"/>
        <v>0.74285714285714288</v>
      </c>
      <c r="AP330" s="124">
        <f t="shared" si="632"/>
        <v>0.7441860465116279</v>
      </c>
      <c r="AQ330" s="124">
        <f t="shared" si="632"/>
        <v>0.74619289340101524</v>
      </c>
      <c r="AR330" s="124">
        <f t="shared" si="632"/>
        <v>0.75123152709359609</v>
      </c>
      <c r="AS330" s="124">
        <f t="shared" si="632"/>
        <v>0.74390243902439024</v>
      </c>
      <c r="AT330" s="124">
        <f t="shared" si="632"/>
        <v>0.73849878934624702</v>
      </c>
      <c r="AU330" s="124">
        <f t="shared" si="632"/>
        <v>0.73508353221957046</v>
      </c>
      <c r="AV330" s="124">
        <f t="shared" si="632"/>
        <v>0.73049645390070927</v>
      </c>
      <c r="AW330" s="124">
        <f t="shared" si="632"/>
        <v>0.73095238095238091</v>
      </c>
      <c r="AX330" s="124">
        <f t="shared" ref="AX330:BG330" si="633">+AX288/AX309</f>
        <v>0.72813238770685584</v>
      </c>
      <c r="AY330" s="124">
        <f t="shared" si="633"/>
        <v>0.72365339578454335</v>
      </c>
      <c r="AZ330" s="124">
        <f t="shared" si="633"/>
        <v>0.73444976076555024</v>
      </c>
      <c r="BA330" s="124">
        <f t="shared" si="633"/>
        <v>0.74447174447174447</v>
      </c>
      <c r="BB330" s="124">
        <f t="shared" si="633"/>
        <v>0.74264705882352944</v>
      </c>
      <c r="BC330" s="124">
        <f t="shared" si="633"/>
        <v>0.74692874692874689</v>
      </c>
      <c r="BD330" s="124">
        <f t="shared" si="633"/>
        <v>0.74695863746958635</v>
      </c>
      <c r="BE330" s="124">
        <f t="shared" si="633"/>
        <v>0.75061124694376524</v>
      </c>
      <c r="BF330" s="124">
        <f t="shared" si="633"/>
        <v>0.75245098039215685</v>
      </c>
      <c r="BG330" s="124">
        <f t="shared" si="633"/>
        <v>0.75490196078431371</v>
      </c>
      <c r="BH330" s="213" t="str">
        <f t="shared" ref="BH330:BI333" si="634">+IFERROR(BH288/BH309,"n/a")</f>
        <v>n/a</v>
      </c>
      <c r="BI330" s="213" t="str">
        <f t="shared" si="634"/>
        <v>n/a</v>
      </c>
      <c r="BJ330" s="213" t="str">
        <f t="shared" ref="BJ330" si="635">+IFERROR(BJ288/BJ309,"n/a")</f>
        <v>n/a</v>
      </c>
      <c r="BK330" s="124"/>
      <c r="BL330" s="124"/>
      <c r="BM330" s="124"/>
      <c r="BN330" s="124"/>
      <c r="BO330" s="124"/>
      <c r="BP330" s="124"/>
      <c r="BQ330" s="124"/>
      <c r="BR330" s="124"/>
      <c r="BS330" s="124">
        <f t="shared" ref="BS330:CD330" si="636">+BS288/BS309</f>
        <v>0.53846153846153844</v>
      </c>
      <c r="BT330" s="124">
        <f t="shared" si="636"/>
        <v>0.58469945355191255</v>
      </c>
      <c r="BU330" s="124">
        <f t="shared" si="636"/>
        <v>0.62445414847161573</v>
      </c>
      <c r="BV330" s="124">
        <f t="shared" si="636"/>
        <v>0.64750957854406133</v>
      </c>
      <c r="BW330" s="124">
        <f t="shared" si="636"/>
        <v>0.6811594202898551</v>
      </c>
      <c r="BX330" s="124">
        <f t="shared" si="636"/>
        <v>0.72093023255813948</v>
      </c>
      <c r="BY330" s="124">
        <f t="shared" si="636"/>
        <v>0.74303405572755421</v>
      </c>
      <c r="BZ330" s="124">
        <f t="shared" si="636"/>
        <v>0.75071633237822355</v>
      </c>
      <c r="CA330" s="124">
        <f t="shared" si="636"/>
        <v>0.74864864864864866</v>
      </c>
      <c r="CB330" s="124">
        <f t="shared" si="636"/>
        <v>0.74015748031496065</v>
      </c>
      <c r="CC330" s="124">
        <f t="shared" si="636"/>
        <v>0.74619289340101524</v>
      </c>
      <c r="CD330" s="124">
        <f t="shared" si="636"/>
        <v>0.73508353221957046</v>
      </c>
      <c r="CE330" s="124">
        <f t="shared" si="631"/>
        <v>0.72365339578454335</v>
      </c>
      <c r="CF330" s="124">
        <f t="shared" si="631"/>
        <v>0.74692874692874689</v>
      </c>
      <c r="CG330" s="124">
        <f t="shared" si="631"/>
        <v>0.75490196078431371</v>
      </c>
      <c r="CH330" s="124"/>
      <c r="CI330" s="124"/>
    </row>
    <row r="331" spans="2:87" x14ac:dyDescent="0.2">
      <c r="B331" t="s">
        <v>216</v>
      </c>
      <c r="D331" s="124">
        <f t="shared" ref="D331:AW331" si="637">+D289/D310</f>
        <v>0.48148148148148145</v>
      </c>
      <c r="E331" s="124">
        <f t="shared" si="637"/>
        <v>0.46875</v>
      </c>
      <c r="F331" s="124">
        <f t="shared" si="637"/>
        <v>0.47787610619469029</v>
      </c>
      <c r="G331" s="124">
        <f t="shared" si="637"/>
        <v>0.46376811594202899</v>
      </c>
      <c r="H331" s="124">
        <f t="shared" si="637"/>
        <v>0.46153846153846156</v>
      </c>
      <c r="I331" s="124">
        <f t="shared" si="637"/>
        <v>0.4885057471264368</v>
      </c>
      <c r="J331" s="124">
        <f t="shared" si="637"/>
        <v>0.5</v>
      </c>
      <c r="K331" s="124">
        <f t="shared" si="637"/>
        <v>0.49528301886792453</v>
      </c>
      <c r="L331" s="124">
        <f t="shared" si="637"/>
        <v>0.50854700854700852</v>
      </c>
      <c r="M331" s="124">
        <f t="shared" si="637"/>
        <v>0.50588235294117645</v>
      </c>
      <c r="N331" s="124">
        <f t="shared" si="637"/>
        <v>0.50902527075812276</v>
      </c>
      <c r="O331" s="124">
        <f t="shared" si="637"/>
        <v>0.51342281879194629</v>
      </c>
      <c r="P331" s="124">
        <f t="shared" si="637"/>
        <v>0.52351097178683381</v>
      </c>
      <c r="Q331" s="124">
        <f t="shared" si="637"/>
        <v>0.53392330383480824</v>
      </c>
      <c r="R331" s="124">
        <f t="shared" si="637"/>
        <v>0.53846153846153844</v>
      </c>
      <c r="S331" s="124">
        <f t="shared" si="637"/>
        <v>0.54347826086956519</v>
      </c>
      <c r="T331" s="124">
        <f t="shared" si="637"/>
        <v>0.55384615384615388</v>
      </c>
      <c r="U331" s="124">
        <f t="shared" si="637"/>
        <v>0.55609756097560981</v>
      </c>
      <c r="V331" s="124">
        <f t="shared" si="637"/>
        <v>0.568075117370892</v>
      </c>
      <c r="W331" s="124">
        <f t="shared" si="637"/>
        <v>0.56347438752783963</v>
      </c>
      <c r="X331" s="124">
        <f t="shared" si="637"/>
        <v>0.57324840764331209</v>
      </c>
      <c r="Y331" s="124">
        <f t="shared" si="637"/>
        <v>0.57416750756811297</v>
      </c>
      <c r="Z331" s="124">
        <f t="shared" si="637"/>
        <v>0.57526366251198469</v>
      </c>
      <c r="AA331" s="124">
        <f t="shared" si="637"/>
        <v>0.57222222222222219</v>
      </c>
      <c r="AB331" s="124">
        <f t="shared" si="637"/>
        <v>0.58083038869257952</v>
      </c>
      <c r="AC331" s="124">
        <f t="shared" si="637"/>
        <v>0.58445945945945943</v>
      </c>
      <c r="AD331" s="124">
        <f t="shared" si="637"/>
        <v>0.5850556438791733</v>
      </c>
      <c r="AE331" s="124">
        <f t="shared" si="637"/>
        <v>0.58841010401188709</v>
      </c>
      <c r="AF331" s="124">
        <f t="shared" si="637"/>
        <v>0.59636871508379885</v>
      </c>
      <c r="AG331" s="124">
        <f t="shared" si="637"/>
        <v>0.59920634920634919</v>
      </c>
      <c r="AH331" s="124">
        <f t="shared" si="637"/>
        <v>0.59949622166246852</v>
      </c>
      <c r="AI331" s="124">
        <f t="shared" si="637"/>
        <v>0.60265700483091789</v>
      </c>
      <c r="AJ331" s="124">
        <f t="shared" si="637"/>
        <v>0.60595647193585334</v>
      </c>
      <c r="AK331" s="124">
        <f t="shared" si="637"/>
        <v>0.61073825503355705</v>
      </c>
      <c r="AL331" s="124">
        <f t="shared" si="637"/>
        <v>0.61177753544165758</v>
      </c>
      <c r="AM331" s="124">
        <f t="shared" si="637"/>
        <v>0.60929250263991552</v>
      </c>
      <c r="AN331" s="124">
        <f t="shared" si="637"/>
        <v>0.6116207951070336</v>
      </c>
      <c r="AO331" s="124">
        <f t="shared" si="637"/>
        <v>0.61316051844466601</v>
      </c>
      <c r="AP331" s="124">
        <f t="shared" si="637"/>
        <v>0.61895360315893388</v>
      </c>
      <c r="AQ331" s="124">
        <f t="shared" si="637"/>
        <v>0.61753371868978801</v>
      </c>
      <c r="AR331" s="124">
        <f t="shared" si="637"/>
        <v>0.62031107044830736</v>
      </c>
      <c r="AS331" s="124">
        <f t="shared" si="637"/>
        <v>0.61208406304728546</v>
      </c>
      <c r="AT331" s="124">
        <f t="shared" si="637"/>
        <v>0.62349914236706694</v>
      </c>
      <c r="AU331" s="124">
        <f t="shared" si="637"/>
        <v>0.62051709758131779</v>
      </c>
      <c r="AV331" s="124">
        <f t="shared" si="637"/>
        <v>0.61788617886178865</v>
      </c>
      <c r="AW331" s="124">
        <f t="shared" si="637"/>
        <v>0.62292490118577071</v>
      </c>
      <c r="AX331" s="124">
        <f t="shared" ref="AX331:BG331" si="638">+AX289/AX310</f>
        <v>0.62989045383411579</v>
      </c>
      <c r="AY331" s="124">
        <f t="shared" si="638"/>
        <v>0.63067292644757433</v>
      </c>
      <c r="AZ331" s="124">
        <f t="shared" si="638"/>
        <v>0.63762528912875871</v>
      </c>
      <c r="BA331" s="124">
        <f t="shared" si="638"/>
        <v>0.64061302681992338</v>
      </c>
      <c r="BB331" s="124">
        <f t="shared" si="638"/>
        <v>0.64405487804878048</v>
      </c>
      <c r="BC331" s="124">
        <f t="shared" si="638"/>
        <v>0.65091463414634143</v>
      </c>
      <c r="BD331" s="124">
        <f t="shared" si="638"/>
        <v>0.65936555891238668</v>
      </c>
      <c r="BE331" s="124">
        <f t="shared" si="638"/>
        <v>0.66048925129725722</v>
      </c>
      <c r="BF331" s="124">
        <f t="shared" si="638"/>
        <v>0.66249078850405307</v>
      </c>
      <c r="BG331" s="124">
        <f t="shared" si="638"/>
        <v>0.66861741038771028</v>
      </c>
      <c r="BH331" s="213" t="str">
        <f t="shared" si="634"/>
        <v>n/a</v>
      </c>
      <c r="BI331" s="213" t="str">
        <f t="shared" si="634"/>
        <v>n/a</v>
      </c>
      <c r="BJ331" s="213" t="str">
        <f t="shared" ref="BJ331" si="639">+IFERROR(BJ289/BJ310,"n/a")</f>
        <v>n/a</v>
      </c>
      <c r="BK331" s="124"/>
      <c r="BL331" s="124"/>
      <c r="BM331" s="124"/>
      <c r="BN331" s="124"/>
      <c r="BO331" s="124"/>
      <c r="BP331" s="124"/>
      <c r="BQ331" s="124"/>
      <c r="BR331" s="124"/>
      <c r="BS331" s="124">
        <f t="shared" ref="BS331:CD331" si="640">+BS289/BS310</f>
        <v>0.46774193548387094</v>
      </c>
      <c r="BT331" s="124">
        <f t="shared" si="640"/>
        <v>0.46376811594202899</v>
      </c>
      <c r="BU331" s="124">
        <f t="shared" si="640"/>
        <v>0.49528301886792453</v>
      </c>
      <c r="BV331" s="124">
        <f t="shared" si="640"/>
        <v>0.51342281879194629</v>
      </c>
      <c r="BW331" s="124">
        <f t="shared" si="640"/>
        <v>0.53846153846153844</v>
      </c>
      <c r="BX331" s="124">
        <f t="shared" si="640"/>
        <v>0.56347438752783963</v>
      </c>
      <c r="BY331" s="124">
        <f t="shared" si="640"/>
        <v>0.57222222222222219</v>
      </c>
      <c r="BZ331" s="124">
        <f t="shared" si="640"/>
        <v>0.58841010401188709</v>
      </c>
      <c r="CA331" s="124">
        <f t="shared" si="640"/>
        <v>0.60265700483091789</v>
      </c>
      <c r="CB331" s="124">
        <f t="shared" si="640"/>
        <v>0.60929250263991552</v>
      </c>
      <c r="CC331" s="124">
        <f t="shared" si="640"/>
        <v>0.61753371868978801</v>
      </c>
      <c r="CD331" s="124">
        <f t="shared" si="640"/>
        <v>0.62051709758131779</v>
      </c>
      <c r="CE331" s="124">
        <f t="shared" si="631"/>
        <v>0.63067292644757433</v>
      </c>
      <c r="CF331" s="124">
        <f t="shared" si="631"/>
        <v>0.65091463414634143</v>
      </c>
      <c r="CG331" s="124">
        <f t="shared" si="631"/>
        <v>0.66861741038771028</v>
      </c>
      <c r="CH331" s="124"/>
      <c r="CI331" s="124"/>
    </row>
    <row r="332" spans="2:87" ht="13.5" x14ac:dyDescent="0.35">
      <c r="B332" t="s">
        <v>217</v>
      </c>
      <c r="D332" s="125">
        <f t="shared" ref="D332:AW332" si="641">+D290/D311</f>
        <v>0.40963855421686746</v>
      </c>
      <c r="E332" s="125">
        <f t="shared" si="641"/>
        <v>0.42857142857142855</v>
      </c>
      <c r="F332" s="125">
        <f t="shared" si="641"/>
        <v>0.42063492063492064</v>
      </c>
      <c r="G332" s="125">
        <f t="shared" si="641"/>
        <v>0.42857142857142855</v>
      </c>
      <c r="H332" s="125">
        <f t="shared" si="641"/>
        <v>0.46583850931677018</v>
      </c>
      <c r="I332" s="125">
        <f t="shared" si="641"/>
        <v>0.48087431693989069</v>
      </c>
      <c r="J332" s="125">
        <f t="shared" si="641"/>
        <v>0.48309178743961351</v>
      </c>
      <c r="K332" s="125">
        <f t="shared" si="641"/>
        <v>0.48444444444444446</v>
      </c>
      <c r="L332" s="125">
        <f t="shared" si="641"/>
        <v>0.51428571428571423</v>
      </c>
      <c r="M332" s="125">
        <f t="shared" si="641"/>
        <v>0.51865671641791045</v>
      </c>
      <c r="N332" s="125">
        <f t="shared" si="641"/>
        <v>0.52777777777777779</v>
      </c>
      <c r="O332" s="125">
        <f t="shared" si="641"/>
        <v>0.52960526315789469</v>
      </c>
      <c r="P332" s="125">
        <f t="shared" si="641"/>
        <v>0.55045871559633031</v>
      </c>
      <c r="Q332" s="125">
        <f t="shared" si="641"/>
        <v>0.56358381502890176</v>
      </c>
      <c r="R332" s="125">
        <f t="shared" si="641"/>
        <v>0.57300275482093666</v>
      </c>
      <c r="S332" s="125">
        <f t="shared" si="641"/>
        <v>0.57446808510638303</v>
      </c>
      <c r="T332" s="125">
        <f t="shared" si="641"/>
        <v>0.58987341772151902</v>
      </c>
      <c r="U332" s="125">
        <f t="shared" si="641"/>
        <v>0.59367396593673971</v>
      </c>
      <c r="V332" s="125">
        <f t="shared" si="641"/>
        <v>0.60520094562647753</v>
      </c>
      <c r="W332" s="125">
        <f t="shared" si="641"/>
        <v>0.60321100917431192</v>
      </c>
      <c r="X332" s="125">
        <f t="shared" si="641"/>
        <v>0.61810154525386318</v>
      </c>
      <c r="Y332" s="125">
        <f t="shared" si="641"/>
        <v>0.61955366631243358</v>
      </c>
      <c r="Z332" s="125">
        <f t="shared" si="641"/>
        <v>0.62665310274669384</v>
      </c>
      <c r="AA332" s="125">
        <f t="shared" si="641"/>
        <v>0.62671905697445973</v>
      </c>
      <c r="AB332" s="125">
        <f t="shared" si="641"/>
        <v>0.63742964352720455</v>
      </c>
      <c r="AC332" s="125">
        <f t="shared" si="641"/>
        <v>0.63848920863309355</v>
      </c>
      <c r="AD332" s="125">
        <f t="shared" si="641"/>
        <v>0.64224872231686547</v>
      </c>
      <c r="AE332" s="125">
        <f t="shared" si="641"/>
        <v>0.64026402640264024</v>
      </c>
      <c r="AF332" s="125">
        <f t="shared" si="641"/>
        <v>0.64556962025316456</v>
      </c>
      <c r="AG332" s="125">
        <f t="shared" si="641"/>
        <v>0.64067278287461771</v>
      </c>
      <c r="AH332" s="125">
        <f t="shared" si="641"/>
        <v>0.64148148148148143</v>
      </c>
      <c r="AI332" s="125">
        <f t="shared" si="641"/>
        <v>0.63728323699421963</v>
      </c>
      <c r="AJ332" s="125">
        <f t="shared" si="641"/>
        <v>0.64255319148936174</v>
      </c>
      <c r="AK332" s="125">
        <f t="shared" si="641"/>
        <v>0.63762102351313965</v>
      </c>
      <c r="AL332" s="125">
        <f t="shared" si="641"/>
        <v>0.63858695652173914</v>
      </c>
      <c r="AM332" s="125">
        <f t="shared" si="641"/>
        <v>0.63733333333333331</v>
      </c>
      <c r="AN332" s="125">
        <f t="shared" si="641"/>
        <v>0.63802083333333337</v>
      </c>
      <c r="AO332" s="125">
        <f t="shared" si="641"/>
        <v>0.63810741687979544</v>
      </c>
      <c r="AP332" s="125">
        <f t="shared" si="641"/>
        <v>0.6471321695760599</v>
      </c>
      <c r="AQ332" s="125">
        <f t="shared" si="641"/>
        <v>0.65116279069767447</v>
      </c>
      <c r="AR332" s="125">
        <f t="shared" si="641"/>
        <v>0.6533490011750881</v>
      </c>
      <c r="AS332" s="125">
        <f t="shared" si="641"/>
        <v>0.6535874439461884</v>
      </c>
      <c r="AT332" s="125">
        <f t="shared" si="641"/>
        <v>0.6545253863134658</v>
      </c>
      <c r="AU332" s="125">
        <f t="shared" si="641"/>
        <v>0.64929424538545055</v>
      </c>
      <c r="AV332" s="125">
        <f t="shared" si="641"/>
        <v>0.65212765957446805</v>
      </c>
      <c r="AW332" s="125">
        <f t="shared" si="641"/>
        <v>0.64984227129337535</v>
      </c>
      <c r="AX332" s="125">
        <f t="shared" ref="AX332:BG332" si="642">+AX290/AX311</f>
        <v>0.6554267650158061</v>
      </c>
      <c r="AY332" s="125">
        <f t="shared" si="642"/>
        <v>0.65502645502645507</v>
      </c>
      <c r="AZ332" s="125">
        <f t="shared" si="642"/>
        <v>0.65726227795193315</v>
      </c>
      <c r="BA332" s="125">
        <f t="shared" si="642"/>
        <v>0.65797705943691343</v>
      </c>
      <c r="BB332" s="125">
        <f t="shared" si="642"/>
        <v>0.65705458290422247</v>
      </c>
      <c r="BC332" s="125">
        <f t="shared" si="642"/>
        <v>0.65679264555669048</v>
      </c>
      <c r="BD332" s="125">
        <f t="shared" si="642"/>
        <v>0.66632860040567954</v>
      </c>
      <c r="BE332" s="125">
        <f t="shared" si="642"/>
        <v>0.66367265469061876</v>
      </c>
      <c r="BF332" s="125">
        <f t="shared" si="642"/>
        <v>0.66732477788746303</v>
      </c>
      <c r="BG332" s="125">
        <f t="shared" si="642"/>
        <v>0.67092337917485267</v>
      </c>
      <c r="BH332" s="214" t="str">
        <f t="shared" si="634"/>
        <v>n/a</v>
      </c>
      <c r="BI332" s="214" t="str">
        <f t="shared" si="634"/>
        <v>n/a</v>
      </c>
      <c r="BJ332" s="214" t="str">
        <f t="shared" ref="BJ332" si="643">+IFERROR(BJ290/BJ311,"n/a")</f>
        <v>n/a</v>
      </c>
      <c r="BK332" s="125"/>
      <c r="BL332" s="125"/>
      <c r="BM332" s="125"/>
      <c r="BN332" s="125"/>
      <c r="BO332" s="125"/>
      <c r="BP332" s="125"/>
      <c r="BQ332" s="125"/>
      <c r="BR332" s="125"/>
      <c r="BS332" s="125">
        <f t="shared" ref="BS332:CD332" si="644">+BS290/BS311</f>
        <v>0.42028985507246375</v>
      </c>
      <c r="BT332" s="125">
        <f t="shared" si="644"/>
        <v>0.42857142857142855</v>
      </c>
      <c r="BU332" s="125">
        <f t="shared" si="644"/>
        <v>0.48444444444444446</v>
      </c>
      <c r="BV332" s="125">
        <f t="shared" si="644"/>
        <v>0.52960526315789469</v>
      </c>
      <c r="BW332" s="125">
        <f t="shared" si="644"/>
        <v>0.57300275482093666</v>
      </c>
      <c r="BX332" s="125">
        <f t="shared" si="644"/>
        <v>0.60321100917431192</v>
      </c>
      <c r="BY332" s="125">
        <f t="shared" si="644"/>
        <v>0.62671905697445973</v>
      </c>
      <c r="BZ332" s="125">
        <f t="shared" si="644"/>
        <v>0.64026402640264024</v>
      </c>
      <c r="CA332" s="125">
        <f t="shared" si="644"/>
        <v>0.63728323699421963</v>
      </c>
      <c r="CB332" s="125">
        <f t="shared" si="644"/>
        <v>0.63733333333333331</v>
      </c>
      <c r="CC332" s="125">
        <f t="shared" si="644"/>
        <v>0.65116279069767447</v>
      </c>
      <c r="CD332" s="125">
        <f t="shared" si="644"/>
        <v>0.64929424538545055</v>
      </c>
      <c r="CE332" s="125">
        <f t="shared" si="631"/>
        <v>0.65502645502645507</v>
      </c>
      <c r="CF332" s="125">
        <f t="shared" si="631"/>
        <v>0.65679264555669048</v>
      </c>
      <c r="CG332" s="125">
        <f t="shared" si="631"/>
        <v>0.67092337917485267</v>
      </c>
      <c r="CH332" s="125"/>
      <c r="CI332" s="125"/>
    </row>
    <row r="333" spans="2:87" s="44" customFormat="1" x14ac:dyDescent="0.2">
      <c r="B333" s="110" t="s">
        <v>263</v>
      </c>
      <c r="D333" s="127">
        <f t="shared" ref="D333:AW333" si="645">+D291/D312</f>
        <v>0.54166666666666663</v>
      </c>
      <c r="E333" s="127">
        <f t="shared" si="645"/>
        <v>0.53319502074688796</v>
      </c>
      <c r="F333" s="127">
        <f t="shared" si="645"/>
        <v>0.53272727272727272</v>
      </c>
      <c r="G333" s="127">
        <f t="shared" si="645"/>
        <v>0.53782894736842102</v>
      </c>
      <c r="H333" s="127">
        <f t="shared" si="645"/>
        <v>0.54625550660792954</v>
      </c>
      <c r="I333" s="127">
        <f t="shared" si="645"/>
        <v>0.56504065040650409</v>
      </c>
      <c r="J333" s="127">
        <f t="shared" si="645"/>
        <v>0.57125000000000004</v>
      </c>
      <c r="K333" s="127">
        <f t="shared" si="645"/>
        <v>0.57159763313609468</v>
      </c>
      <c r="L333" s="127">
        <f t="shared" si="645"/>
        <v>0.58379578246392894</v>
      </c>
      <c r="M333" s="127">
        <f t="shared" si="645"/>
        <v>0.57801047120418847</v>
      </c>
      <c r="N333" s="127">
        <f t="shared" si="645"/>
        <v>0.5809334657398213</v>
      </c>
      <c r="O333" s="127">
        <f t="shared" si="645"/>
        <v>0.58522727272727271</v>
      </c>
      <c r="P333" s="127">
        <f t="shared" si="645"/>
        <v>0.59909909909909909</v>
      </c>
      <c r="Q333" s="127">
        <f t="shared" si="645"/>
        <v>0.60606060606060608</v>
      </c>
      <c r="R333" s="127">
        <f t="shared" si="645"/>
        <v>0.61312026913372586</v>
      </c>
      <c r="S333" s="127">
        <f t="shared" si="645"/>
        <v>0.61776691116544413</v>
      </c>
      <c r="T333" s="127">
        <f t="shared" si="645"/>
        <v>0.62852664576802508</v>
      </c>
      <c r="U333" s="127">
        <f t="shared" si="645"/>
        <v>0.63022019741837509</v>
      </c>
      <c r="V333" s="127">
        <f t="shared" si="645"/>
        <v>0.64026646928201336</v>
      </c>
      <c r="W333" s="127">
        <f t="shared" si="645"/>
        <v>0.63845050215208032</v>
      </c>
      <c r="X333" s="127">
        <f t="shared" si="645"/>
        <v>0.64954892435808465</v>
      </c>
      <c r="Y333" s="127">
        <f t="shared" si="645"/>
        <v>0.64966442953020132</v>
      </c>
      <c r="Z333" s="127">
        <f t="shared" si="645"/>
        <v>0.65242718446601944</v>
      </c>
      <c r="AA333" s="127">
        <f t="shared" si="645"/>
        <v>0.65179132620993085</v>
      </c>
      <c r="AB333" s="127">
        <f t="shared" si="645"/>
        <v>0.65900846432889959</v>
      </c>
      <c r="AC333" s="127">
        <f t="shared" si="645"/>
        <v>0.65887850467289721</v>
      </c>
      <c r="AD333" s="127">
        <f t="shared" si="645"/>
        <v>0.65976496922215999</v>
      </c>
      <c r="AE333" s="127">
        <f t="shared" si="645"/>
        <v>0.65949435180204408</v>
      </c>
      <c r="AF333" s="127">
        <f t="shared" si="645"/>
        <v>0.66322314049586772</v>
      </c>
      <c r="AG333" s="127">
        <f t="shared" si="645"/>
        <v>0.66101694915254239</v>
      </c>
      <c r="AH333" s="127">
        <f t="shared" si="645"/>
        <v>0.66023166023166024</v>
      </c>
      <c r="AI333" s="127">
        <f t="shared" si="645"/>
        <v>0.65805542508219816</v>
      </c>
      <c r="AJ333" s="127">
        <f t="shared" si="645"/>
        <v>0.6598360655737705</v>
      </c>
      <c r="AK333" s="127">
        <f t="shared" si="645"/>
        <v>0.65846016114592654</v>
      </c>
      <c r="AL333" s="127">
        <f t="shared" si="645"/>
        <v>0.65814977973568278</v>
      </c>
      <c r="AM333" s="127">
        <f t="shared" si="645"/>
        <v>0.65646551724137936</v>
      </c>
      <c r="AN333" s="127">
        <f t="shared" si="645"/>
        <v>0.65740740740740744</v>
      </c>
      <c r="AO333" s="127">
        <f t="shared" si="645"/>
        <v>0.65741507870753935</v>
      </c>
      <c r="AP333" s="127">
        <f t="shared" si="645"/>
        <v>0.66271947733768888</v>
      </c>
      <c r="AQ333" s="127">
        <f t="shared" si="645"/>
        <v>0.66359631557869447</v>
      </c>
      <c r="AR333" s="127">
        <f t="shared" si="645"/>
        <v>0.66615443718786016</v>
      </c>
      <c r="AS333" s="127">
        <f t="shared" si="645"/>
        <v>0.66111111111111109</v>
      </c>
      <c r="AT333" s="127">
        <f t="shared" si="645"/>
        <v>0.66459854014598541</v>
      </c>
      <c r="AU333" s="127">
        <f t="shared" si="645"/>
        <v>0.65963532356095822</v>
      </c>
      <c r="AV333" s="127">
        <f t="shared" si="645"/>
        <v>0.6581346423562412</v>
      </c>
      <c r="AW333" s="127">
        <f t="shared" si="645"/>
        <v>0.65906735751295342</v>
      </c>
      <c r="AX333" s="127">
        <f t="shared" ref="AX333:BG333" si="646">+AX291/AX312</f>
        <v>0.6633459292339402</v>
      </c>
      <c r="AY333" s="127">
        <f t="shared" si="646"/>
        <v>0.66243131868131866</v>
      </c>
      <c r="AZ333" s="127">
        <f t="shared" si="646"/>
        <v>0.66746166950596253</v>
      </c>
      <c r="BA333" s="127">
        <f t="shared" si="646"/>
        <v>0.67018739352640544</v>
      </c>
      <c r="BB333" s="127">
        <f t="shared" si="646"/>
        <v>0.67061210686506589</v>
      </c>
      <c r="BC333" s="127">
        <f t="shared" si="646"/>
        <v>0.67476383265856954</v>
      </c>
      <c r="BD333" s="127">
        <f t="shared" si="646"/>
        <v>0.68127090301003346</v>
      </c>
      <c r="BE333" s="127">
        <f t="shared" si="646"/>
        <v>0.68151815181518149</v>
      </c>
      <c r="BF333" s="127">
        <f t="shared" si="646"/>
        <v>0.68383076418497868</v>
      </c>
      <c r="BG333" s="127">
        <f t="shared" si="646"/>
        <v>0.68841761827079939</v>
      </c>
      <c r="BH333" s="215" t="str">
        <f t="shared" si="634"/>
        <v>n/a</v>
      </c>
      <c r="BI333" s="215" t="str">
        <f t="shared" si="634"/>
        <v>n/a</v>
      </c>
      <c r="BJ333" s="215" t="str">
        <f t="shared" ref="BJ333" si="647">+IFERROR(BJ291/BJ312,"n/a")</f>
        <v>n/a</v>
      </c>
      <c r="BK333" s="127"/>
      <c r="BL333" s="127"/>
      <c r="BM333" s="127"/>
      <c r="BN333" s="127"/>
      <c r="BO333" s="127"/>
      <c r="BP333" s="127"/>
      <c r="BQ333" s="127"/>
      <c r="BR333" s="127"/>
      <c r="BS333" s="127">
        <f t="shared" ref="BS333:CD333" si="648">+BS291/BS312</f>
        <v>0.51388888888888884</v>
      </c>
      <c r="BT333" s="127">
        <f t="shared" si="648"/>
        <v>0.53782894736842102</v>
      </c>
      <c r="BU333" s="127">
        <f t="shared" si="648"/>
        <v>0.57159763313609468</v>
      </c>
      <c r="BV333" s="127">
        <f t="shared" si="648"/>
        <v>0.58522727272727271</v>
      </c>
      <c r="BW333" s="127">
        <f t="shared" si="648"/>
        <v>0.61312026913372586</v>
      </c>
      <c r="BX333" s="127">
        <f t="shared" si="648"/>
        <v>0.63845050215208032</v>
      </c>
      <c r="BY333" s="127">
        <f t="shared" si="648"/>
        <v>0.65179132620993085</v>
      </c>
      <c r="BZ333" s="127">
        <f t="shared" si="648"/>
        <v>0.65949435180204408</v>
      </c>
      <c r="CA333" s="127">
        <f t="shared" si="648"/>
        <v>0.65805542508219816</v>
      </c>
      <c r="CB333" s="127">
        <f t="shared" si="648"/>
        <v>0.65646551724137936</v>
      </c>
      <c r="CC333" s="127">
        <f t="shared" si="648"/>
        <v>0.66359631557869447</v>
      </c>
      <c r="CD333" s="127">
        <f t="shared" si="648"/>
        <v>0.65963532356095822</v>
      </c>
      <c r="CE333" s="127">
        <f t="shared" si="631"/>
        <v>0.66243131868131866</v>
      </c>
      <c r="CF333" s="127">
        <f t="shared" si="631"/>
        <v>0.67476383265856954</v>
      </c>
      <c r="CG333" s="127">
        <f t="shared" si="631"/>
        <v>0.68841761827079939</v>
      </c>
      <c r="CH333" s="127"/>
      <c r="CI333" s="127"/>
    </row>
    <row r="334" spans="2:87" x14ac:dyDescent="0.2">
      <c r="AI334" s="55"/>
      <c r="AJ334" s="55"/>
      <c r="AK334" s="123"/>
      <c r="AL334" s="11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row>
    <row r="335" spans="2:87" x14ac:dyDescent="0.2">
      <c r="B335" s="62" t="s">
        <v>17</v>
      </c>
    </row>
    <row r="336" spans="2:87" x14ac:dyDescent="0.2">
      <c r="B336" s="60" t="s">
        <v>214</v>
      </c>
      <c r="E336" s="76"/>
      <c r="F336" s="76"/>
      <c r="G336" s="76"/>
      <c r="H336" s="106">
        <f>+H329/D329-1</f>
        <v>2.1247942540775E-2</v>
      </c>
      <c r="I336" s="106">
        <f t="shared" ref="I336:BG340" si="649">+I329/E329-1</f>
        <v>0.11583710407239822</v>
      </c>
      <c r="J336" s="106">
        <f t="shared" si="649"/>
        <v>0.1027667984189724</v>
      </c>
      <c r="K336" s="106">
        <f t="shared" si="649"/>
        <v>9.4972067039106101E-2</v>
      </c>
      <c r="L336" s="106">
        <f t="shared" si="649"/>
        <v>9.4301327088212483E-2</v>
      </c>
      <c r="M336" s="106">
        <f t="shared" si="649"/>
        <v>9.5579450418161738E-3</v>
      </c>
      <c r="N336" s="106">
        <f t="shared" si="649"/>
        <v>-8.7045570916539639E-3</v>
      </c>
      <c r="O336" s="106">
        <f t="shared" si="649"/>
        <v>-6.2916358253145566E-3</v>
      </c>
      <c r="P336" s="106">
        <f t="shared" si="649"/>
        <v>1.1210494931425119E-2</v>
      </c>
      <c r="Q336" s="106">
        <f t="shared" si="649"/>
        <v>2.6107226107225934E-2</v>
      </c>
      <c r="R336" s="106">
        <f t="shared" si="649"/>
        <v>3.6089538602101401E-2</v>
      </c>
      <c r="S336" s="106">
        <f t="shared" si="649"/>
        <v>4.5550027639579715E-2</v>
      </c>
      <c r="T336" s="106">
        <f t="shared" si="649"/>
        <v>4.1740864733955441E-2</v>
      </c>
      <c r="U336" s="106">
        <f t="shared" si="649"/>
        <v>3.8939519469759931E-2</v>
      </c>
      <c r="V336" s="106">
        <f t="shared" si="649"/>
        <v>3.9812567421790623E-2</v>
      </c>
      <c r="W336" s="106">
        <f t="shared" si="649"/>
        <v>3.2083987441130279E-2</v>
      </c>
      <c r="X336" s="106">
        <f t="shared" si="649"/>
        <v>3.2444444444444498E-2</v>
      </c>
      <c r="Y336" s="106">
        <f t="shared" si="649"/>
        <v>3.3358042994811044E-2</v>
      </c>
      <c r="Z336" s="106">
        <f t="shared" si="649"/>
        <v>2.2803627174074581E-2</v>
      </c>
      <c r="AA336" s="106">
        <f t="shared" si="649"/>
        <v>2.2365703981618967E-2</v>
      </c>
      <c r="AB336" s="106">
        <f t="shared" si="649"/>
        <v>1.4982373678025684E-2</v>
      </c>
      <c r="AC336" s="106">
        <f t="shared" si="649"/>
        <v>5.6928556011224263E-3</v>
      </c>
      <c r="AD336" s="106">
        <f t="shared" si="649"/>
        <v>1.0014904688439685E-2</v>
      </c>
      <c r="AE336" s="106">
        <f t="shared" si="649"/>
        <v>9.7594712979329756E-3</v>
      </c>
      <c r="AF336" s="106">
        <f t="shared" si="649"/>
        <v>-4.8239266763139277E-4</v>
      </c>
      <c r="AG336" s="106">
        <f t="shared" si="649"/>
        <v>1.4043583535110482E-3</v>
      </c>
      <c r="AH336" s="106">
        <f t="shared" si="649"/>
        <v>-4.1605942362842319E-3</v>
      </c>
      <c r="AI336" s="106">
        <f t="shared" si="649"/>
        <v>-1.1994421199442162E-2</v>
      </c>
      <c r="AJ336" s="106">
        <f t="shared" si="649"/>
        <v>-1.3040901007705941E-2</v>
      </c>
      <c r="AK336" s="106">
        <f t="shared" si="649"/>
        <v>-1.0044668163163517E-2</v>
      </c>
      <c r="AL336" s="106">
        <f t="shared" si="649"/>
        <v>-1.2396694214875992E-2</v>
      </c>
      <c r="AM336" s="106">
        <f t="shared" si="649"/>
        <v>-1.6618756737334373E-3</v>
      </c>
      <c r="AN336" s="106">
        <f t="shared" si="649"/>
        <v>-2.8695362028696714E-3</v>
      </c>
      <c r="AO336" s="106">
        <f t="shared" si="649"/>
        <v>-1.6171909614532964E-3</v>
      </c>
      <c r="AP336" s="106">
        <f t="shared" si="649"/>
        <v>9.4102199365364569E-4</v>
      </c>
      <c r="AQ336" s="106">
        <f t="shared" si="649"/>
        <v>-3.2084634061740891E-3</v>
      </c>
      <c r="AR336" s="106">
        <f t="shared" si="649"/>
        <v>6.9488716052530375E-3</v>
      </c>
      <c r="AS336" s="106">
        <f t="shared" si="649"/>
        <v>9.1911764705883137E-3</v>
      </c>
      <c r="AT336" s="106">
        <f t="shared" si="649"/>
        <v>4.5025417574438009E-3</v>
      </c>
      <c r="AU336" s="106">
        <f t="shared" si="649"/>
        <v>-1.346389228886169E-2</v>
      </c>
      <c r="AV336" s="106">
        <f t="shared" si="649"/>
        <v>-2.316602316602312E-2</v>
      </c>
      <c r="AW336" s="106">
        <f t="shared" si="649"/>
        <v>-2.6559026559026533E-2</v>
      </c>
      <c r="AX336" s="106">
        <f t="shared" si="649"/>
        <v>-2.298850574712652E-2</v>
      </c>
      <c r="AY336" s="106">
        <f t="shared" si="649"/>
        <v>-1.5267175572519109E-2</v>
      </c>
      <c r="AZ336" s="106">
        <f t="shared" si="649"/>
        <v>-1.0158915862337969E-2</v>
      </c>
      <c r="BA336" s="106">
        <f t="shared" si="649"/>
        <v>-8.8772338772339365E-3</v>
      </c>
      <c r="BB336" s="106">
        <f t="shared" si="649"/>
        <v>-1.3790854687739773E-2</v>
      </c>
      <c r="BC336" s="106">
        <f t="shared" si="649"/>
        <v>5.1667630614999904E-3</v>
      </c>
      <c r="BD336" s="106">
        <f t="shared" si="649"/>
        <v>-2.3518701160762934E-3</v>
      </c>
      <c r="BE336" s="106">
        <f t="shared" si="649"/>
        <v>2.5944726452340472E-3</v>
      </c>
      <c r="BF336" s="106">
        <f t="shared" si="649"/>
        <v>1.1444733736677426E-2</v>
      </c>
      <c r="BG336" s="106">
        <f t="shared" si="649"/>
        <v>7.426840082766617E-3</v>
      </c>
      <c r="BH336" s="164" t="str">
        <f>+IFERROR(BH329/BD329-1,"n/a")</f>
        <v>n/a</v>
      </c>
      <c r="BI336" s="164" t="str">
        <f>+IFERROR(BI329/BE329-1,"n/a")</f>
        <v>n/a</v>
      </c>
      <c r="BJ336" s="164" t="str">
        <f>+IFERROR(BJ329/BF329-1,"n/a")</f>
        <v>n/a</v>
      </c>
      <c r="BK336" s="106"/>
      <c r="BL336" s="106"/>
      <c r="BM336" s="106"/>
      <c r="BN336" s="106"/>
      <c r="BO336" s="106"/>
      <c r="BP336" s="106"/>
      <c r="BQ336" s="106"/>
      <c r="BR336" s="106"/>
      <c r="BS336" s="106"/>
      <c r="BT336" s="106">
        <f>+BT329/BS329-1</f>
        <v>0.12500000000000022</v>
      </c>
      <c r="BU336" s="106">
        <f>+BU329/BT329-1</f>
        <v>9.4972067039106101E-2</v>
      </c>
      <c r="BV336" s="106">
        <f t="shared" ref="BV336:CG336" si="650">+BV329/BU329-1</f>
        <v>-6.2916358253145566E-3</v>
      </c>
      <c r="BW336" s="106">
        <f t="shared" si="650"/>
        <v>3.4505862646566188E-2</v>
      </c>
      <c r="BX336" s="106">
        <f t="shared" si="650"/>
        <v>4.3102297008546842E-2</v>
      </c>
      <c r="BY336" s="106">
        <f t="shared" si="650"/>
        <v>2.2365703981618967E-2</v>
      </c>
      <c r="BZ336" s="106">
        <f t="shared" si="650"/>
        <v>9.7594712979329756E-3</v>
      </c>
      <c r="CA336" s="106">
        <f t="shared" si="650"/>
        <v>-1.1994421199442162E-2</v>
      </c>
      <c r="CB336" s="106">
        <f t="shared" si="650"/>
        <v>-1.6618756737334373E-3</v>
      </c>
      <c r="CC336" s="106">
        <f t="shared" si="650"/>
        <v>-3.2084634061740891E-3</v>
      </c>
      <c r="CD336" s="106">
        <f t="shared" si="650"/>
        <v>-1.346389228886169E-2</v>
      </c>
      <c r="CE336" s="106">
        <f t="shared" si="650"/>
        <v>-1.5267175572519109E-2</v>
      </c>
      <c r="CF336" s="106">
        <f t="shared" si="650"/>
        <v>5.1667630614999904E-3</v>
      </c>
      <c r="CG336" s="106">
        <f t="shared" si="650"/>
        <v>7.426840082766617E-3</v>
      </c>
      <c r="CH336" s="106"/>
      <c r="CI336" s="106"/>
    </row>
    <row r="337" spans="2:87" x14ac:dyDescent="0.2">
      <c r="B337" s="60" t="s">
        <v>215</v>
      </c>
      <c r="E337" s="76"/>
      <c r="F337" s="76"/>
      <c r="G337" s="76"/>
      <c r="H337" s="106">
        <f>+H330/D330-1</f>
        <v>4.2886831664462388E-2</v>
      </c>
      <c r="I337" s="106">
        <f t="shared" si="649"/>
        <v>6.4206437291898011E-2</v>
      </c>
      <c r="J337" s="106">
        <f t="shared" si="649"/>
        <v>8.5250794262058394E-2</v>
      </c>
      <c r="K337" s="106">
        <f t="shared" si="649"/>
        <v>6.799167448883825E-2</v>
      </c>
      <c r="L337" s="106">
        <f t="shared" si="649"/>
        <v>6.5271966527196801E-2</v>
      </c>
      <c r="M337" s="106">
        <f t="shared" si="649"/>
        <v>4.5003520901350624E-2</v>
      </c>
      <c r="N337" s="106">
        <f t="shared" si="649"/>
        <v>3.5280339628165569E-2</v>
      </c>
      <c r="O337" s="106">
        <f t="shared" si="649"/>
        <v>3.692093347265768E-2</v>
      </c>
      <c r="P337" s="106">
        <f t="shared" si="649"/>
        <v>4.6297202113089408E-2</v>
      </c>
      <c r="Q337" s="106">
        <f t="shared" si="649"/>
        <v>6.8850267379679142E-2</v>
      </c>
      <c r="R337" s="106">
        <f t="shared" si="649"/>
        <v>7.7083333333333393E-2</v>
      </c>
      <c r="S337" s="106">
        <f t="shared" si="649"/>
        <v>6.7921440261865751E-2</v>
      </c>
      <c r="T337" s="106">
        <f t="shared" si="649"/>
        <v>5.5595291024723936E-2</v>
      </c>
      <c r="U337" s="106">
        <f t="shared" si="649"/>
        <v>5.4342917356616116E-2</v>
      </c>
      <c r="V337" s="106">
        <f t="shared" si="649"/>
        <v>5.1466359976998222E-2</v>
      </c>
      <c r="W337" s="106">
        <f t="shared" si="649"/>
        <v>4.2576028622540063E-2</v>
      </c>
      <c r="X337" s="106">
        <f t="shared" si="649"/>
        <v>4.3388263988061837E-2</v>
      </c>
      <c r="Y337" s="106">
        <f t="shared" si="649"/>
        <v>3.9178347329316576E-2</v>
      </c>
      <c r="Z337" s="106">
        <f t="shared" si="649"/>
        <v>3.2764300688828962E-2</v>
      </c>
      <c r="AA337" s="106">
        <f t="shared" si="649"/>
        <v>3.0660141815639808E-2</v>
      </c>
      <c r="AB337" s="106">
        <f t="shared" si="649"/>
        <v>1.9235902569235908E-2</v>
      </c>
      <c r="AC337" s="106">
        <f t="shared" si="649"/>
        <v>1.6972905636873259E-2</v>
      </c>
      <c r="AD337" s="106">
        <f t="shared" si="649"/>
        <v>1.1971990060989368E-2</v>
      </c>
      <c r="AE337" s="106">
        <f t="shared" si="649"/>
        <v>1.0339063992359065E-2</v>
      </c>
      <c r="AF337" s="106">
        <f t="shared" si="649"/>
        <v>9.6925304488544306E-3</v>
      </c>
      <c r="AG337" s="106">
        <f t="shared" si="649"/>
        <v>9.6781305114637117E-3</v>
      </c>
      <c r="AH337" s="106">
        <f t="shared" si="649"/>
        <v>5.623282967033072E-3</v>
      </c>
      <c r="AI337" s="106">
        <f t="shared" si="649"/>
        <v>-2.7542809985559025E-3</v>
      </c>
      <c r="AJ337" s="106">
        <f t="shared" si="649"/>
        <v>-8.255595624832357E-3</v>
      </c>
      <c r="AK337" s="106">
        <f t="shared" si="649"/>
        <v>-1.4289079061003407E-2</v>
      </c>
      <c r="AL337" s="106">
        <f t="shared" si="649"/>
        <v>-1.5163017031630255E-2</v>
      </c>
      <c r="AM337" s="106">
        <f t="shared" si="649"/>
        <v>-1.1341993803121175E-2</v>
      </c>
      <c r="AN337" s="106">
        <f t="shared" si="649"/>
        <v>-4.3033392434989048E-3</v>
      </c>
      <c r="AO337" s="106">
        <f t="shared" si="649"/>
        <v>1.126472094214126E-3</v>
      </c>
      <c r="AP337" s="106">
        <f t="shared" si="649"/>
        <v>3.8480843232391315E-3</v>
      </c>
      <c r="AQ337" s="106">
        <f t="shared" si="649"/>
        <v>8.1542283183928532E-3</v>
      </c>
      <c r="AR337" s="106">
        <f t="shared" si="649"/>
        <v>8.6465258879053764E-3</v>
      </c>
      <c r="AS337" s="106">
        <f t="shared" si="649"/>
        <v>1.4071294559099279E-3</v>
      </c>
      <c r="AT337" s="106">
        <f t="shared" si="649"/>
        <v>-7.6422518159805497E-3</v>
      </c>
      <c r="AU337" s="106">
        <f t="shared" si="649"/>
        <v>-1.4888055460847816E-2</v>
      </c>
      <c r="AV337" s="106">
        <f t="shared" si="649"/>
        <v>-2.7601441692826412E-2</v>
      </c>
      <c r="AW337" s="106">
        <f t="shared" si="649"/>
        <v>-1.7408274785324029E-2</v>
      </c>
      <c r="AX337" s="106">
        <f t="shared" si="649"/>
        <v>-1.4037127465798549E-2</v>
      </c>
      <c r="AY337" s="106">
        <f t="shared" si="649"/>
        <v>-1.5549438851546582E-2</v>
      </c>
      <c r="AZ337" s="106">
        <f t="shared" si="649"/>
        <v>5.4118084266270294E-3</v>
      </c>
      <c r="BA337" s="106">
        <f t="shared" si="649"/>
        <v>1.8495546182842659E-2</v>
      </c>
      <c r="BB337" s="106">
        <f t="shared" si="649"/>
        <v>1.9934110007639338E-2</v>
      </c>
      <c r="BC337" s="106">
        <f t="shared" si="649"/>
        <v>3.2163672940371812E-2</v>
      </c>
      <c r="BD337" s="106">
        <f t="shared" si="649"/>
        <v>1.703163017031617E-2</v>
      </c>
      <c r="BE337" s="106">
        <f t="shared" si="649"/>
        <v>8.2467904492160571E-3</v>
      </c>
      <c r="BF337" s="106">
        <f t="shared" si="649"/>
        <v>1.3201320132013139E-2</v>
      </c>
      <c r="BG337" s="106">
        <f t="shared" si="649"/>
        <v>1.0674664602683182E-2</v>
      </c>
      <c r="BH337" s="164" t="str">
        <f t="shared" ref="BH337:BJ340" si="651">+IFERROR(BH330/BD330-1,"n/a")</f>
        <v>n/a</v>
      </c>
      <c r="BI337" s="164" t="str">
        <f t="shared" si="651"/>
        <v>n/a</v>
      </c>
      <c r="BJ337" s="164" t="str">
        <f t="shared" si="651"/>
        <v>n/a</v>
      </c>
      <c r="BK337" s="106"/>
      <c r="BL337" s="106"/>
      <c r="BM337" s="106"/>
      <c r="BN337" s="106"/>
      <c r="BO337" s="106"/>
      <c r="BP337" s="106"/>
      <c r="BQ337" s="106"/>
      <c r="BR337" s="106"/>
      <c r="BS337" s="106"/>
      <c r="BT337" s="106">
        <f t="shared" ref="BT337:CG340" si="652">+BT330/BS330-1</f>
        <v>8.5870413739266294E-2</v>
      </c>
      <c r="BU337" s="106">
        <f t="shared" si="652"/>
        <v>6.799167448883825E-2</v>
      </c>
      <c r="BV337" s="106">
        <f t="shared" si="652"/>
        <v>3.692093347265768E-2</v>
      </c>
      <c r="BW337" s="106">
        <f t="shared" si="652"/>
        <v>5.1968098790841299E-2</v>
      </c>
      <c r="BX337" s="106">
        <f t="shared" si="652"/>
        <v>5.8386937159821795E-2</v>
      </c>
      <c r="BY337" s="106">
        <f t="shared" si="652"/>
        <v>3.0660141815639808E-2</v>
      </c>
      <c r="BZ337" s="106">
        <f t="shared" si="652"/>
        <v>1.0339063992359065E-2</v>
      </c>
      <c r="CA337" s="106">
        <f t="shared" si="652"/>
        <v>-2.7542809985559025E-3</v>
      </c>
      <c r="CB337" s="106">
        <f t="shared" si="652"/>
        <v>-1.1341993803121175E-2</v>
      </c>
      <c r="CC337" s="106">
        <f t="shared" si="652"/>
        <v>8.1542283183928532E-3</v>
      </c>
      <c r="CD337" s="106">
        <f t="shared" si="652"/>
        <v>-1.4888055460847816E-2</v>
      </c>
      <c r="CE337" s="106">
        <f t="shared" si="652"/>
        <v>-1.5549438851546582E-2</v>
      </c>
      <c r="CF337" s="106">
        <f t="shared" si="652"/>
        <v>3.2163672940371812E-2</v>
      </c>
      <c r="CG337" s="106">
        <f t="shared" si="652"/>
        <v>1.0674664602683182E-2</v>
      </c>
      <c r="CH337" s="106"/>
      <c r="CI337" s="106"/>
    </row>
    <row r="338" spans="2:87" x14ac:dyDescent="0.2">
      <c r="B338" s="60" t="s">
        <v>216</v>
      </c>
      <c r="E338" s="76"/>
      <c r="F338" s="76"/>
      <c r="G338" s="76"/>
      <c r="H338" s="106">
        <f>+H331/D331-1</f>
        <v>-4.1420118343195145E-2</v>
      </c>
      <c r="I338" s="106">
        <f t="shared" si="649"/>
        <v>4.2145593869731934E-2</v>
      </c>
      <c r="J338" s="106">
        <f t="shared" si="649"/>
        <v>4.629629629629628E-2</v>
      </c>
      <c r="K338" s="106">
        <f t="shared" si="649"/>
        <v>6.7954009433962348E-2</v>
      </c>
      <c r="L338" s="106">
        <f t="shared" si="649"/>
        <v>0.10185185185185164</v>
      </c>
      <c r="M338" s="106">
        <f t="shared" si="649"/>
        <v>3.5570934256055287E-2</v>
      </c>
      <c r="N338" s="106">
        <f t="shared" si="649"/>
        <v>1.8050541516245522E-2</v>
      </c>
      <c r="O338" s="106">
        <f t="shared" si="649"/>
        <v>3.6625119846596332E-2</v>
      </c>
      <c r="P338" s="106">
        <f t="shared" si="649"/>
        <v>2.9424936118648048E-2</v>
      </c>
      <c r="Q338" s="106">
        <f t="shared" si="649"/>
        <v>5.5429786650202484E-2</v>
      </c>
      <c r="R338" s="106">
        <f t="shared" si="649"/>
        <v>5.782869612656838E-2</v>
      </c>
      <c r="S338" s="106">
        <f t="shared" si="649"/>
        <v>5.8539357772094291E-2</v>
      </c>
      <c r="T338" s="106">
        <f t="shared" si="649"/>
        <v>5.7945647167204184E-2</v>
      </c>
      <c r="U338" s="106">
        <f t="shared" si="649"/>
        <v>4.1530790998517864E-2</v>
      </c>
      <c r="V338" s="106">
        <f t="shared" si="649"/>
        <v>5.4996646545942385E-2</v>
      </c>
      <c r="W338" s="106">
        <f t="shared" si="649"/>
        <v>3.6792873051225028E-2</v>
      </c>
      <c r="X338" s="106">
        <f t="shared" si="649"/>
        <v>3.5031847133757843E-2</v>
      </c>
      <c r="Y338" s="106">
        <f t="shared" si="649"/>
        <v>3.2494202205817002E-2</v>
      </c>
      <c r="Z338" s="106">
        <f t="shared" si="649"/>
        <v>1.2654215826882087E-2</v>
      </c>
      <c r="AA338" s="106">
        <f t="shared" si="649"/>
        <v>1.5524813350900279E-2</v>
      </c>
      <c r="AB338" s="106">
        <f t="shared" si="649"/>
        <v>1.3226344719277749E-2</v>
      </c>
      <c r="AC338" s="106">
        <f t="shared" si="649"/>
        <v>1.7924998812520743E-2</v>
      </c>
      <c r="AD338" s="106">
        <f t="shared" si="649"/>
        <v>1.70217276099629E-2</v>
      </c>
      <c r="AE338" s="106">
        <f t="shared" si="649"/>
        <v>2.8289502156696011E-2</v>
      </c>
      <c r="AF338" s="106">
        <f t="shared" si="649"/>
        <v>2.6751917072030729E-2</v>
      </c>
      <c r="AG338" s="106">
        <f t="shared" si="649"/>
        <v>2.5231672630516622E-2</v>
      </c>
      <c r="AH338" s="106">
        <f t="shared" si="649"/>
        <v>2.4682400613295297E-2</v>
      </c>
      <c r="AI338" s="106">
        <f t="shared" si="649"/>
        <v>2.4212535987898187E-2</v>
      </c>
      <c r="AJ338" s="106">
        <f t="shared" si="649"/>
        <v>1.6076894393608931E-2</v>
      </c>
      <c r="AK338" s="106">
        <f t="shared" si="649"/>
        <v>1.92452997911019E-2</v>
      </c>
      <c r="AL338" s="106">
        <f t="shared" si="649"/>
        <v>2.0486057018227033E-2</v>
      </c>
      <c r="AM338" s="106">
        <f t="shared" si="649"/>
        <v>1.1010405182064309E-2</v>
      </c>
      <c r="AN338" s="106">
        <f t="shared" si="649"/>
        <v>9.3477393732332992E-3</v>
      </c>
      <c r="AO338" s="106">
        <f t="shared" si="649"/>
        <v>3.9661236072003891E-3</v>
      </c>
      <c r="AP338" s="106">
        <f t="shared" si="649"/>
        <v>1.1729864700075421E-2</v>
      </c>
      <c r="AQ338" s="106">
        <f t="shared" si="649"/>
        <v>1.3525877988265655E-2</v>
      </c>
      <c r="AR338" s="106">
        <f t="shared" si="649"/>
        <v>1.4208600182982645E-2</v>
      </c>
      <c r="AS338" s="106">
        <f t="shared" si="649"/>
        <v>-1.7555849814190339E-3</v>
      </c>
      <c r="AT338" s="106">
        <f t="shared" si="649"/>
        <v>7.3439094383394021E-3</v>
      </c>
      <c r="AU338" s="106">
        <f t="shared" si="649"/>
        <v>4.8311190162368955E-3</v>
      </c>
      <c r="AV338" s="106">
        <f t="shared" si="649"/>
        <v>-3.9091541357889614E-3</v>
      </c>
      <c r="AW338" s="106">
        <f t="shared" si="649"/>
        <v>1.7711355013090291E-2</v>
      </c>
      <c r="AX338" s="106">
        <f t="shared" si="649"/>
        <v>1.0250714127343796E-2</v>
      </c>
      <c r="AY338" s="106">
        <f t="shared" si="649"/>
        <v>1.6366718831507532E-2</v>
      </c>
      <c r="AZ338" s="106">
        <f t="shared" si="649"/>
        <v>3.1946191616280428E-2</v>
      </c>
      <c r="BA338" s="106">
        <f t="shared" si="649"/>
        <v>2.8395277826399834E-2</v>
      </c>
      <c r="BB338" s="106">
        <f t="shared" si="649"/>
        <v>2.2487123163157152E-2</v>
      </c>
      <c r="BC338" s="106">
        <f t="shared" si="649"/>
        <v>3.209541245536518E-2</v>
      </c>
      <c r="BD338" s="106">
        <f t="shared" si="649"/>
        <v>3.4095683082666861E-2</v>
      </c>
      <c r="BE338" s="106">
        <f t="shared" si="649"/>
        <v>3.1026881510670679E-2</v>
      </c>
      <c r="BF338" s="106">
        <f t="shared" si="649"/>
        <v>2.8624750908068153E-2</v>
      </c>
      <c r="BG338" s="106">
        <f t="shared" si="649"/>
        <v>2.7196770993765718E-2</v>
      </c>
      <c r="BH338" s="164" t="str">
        <f t="shared" si="651"/>
        <v>n/a</v>
      </c>
      <c r="BI338" s="164" t="str">
        <f t="shared" si="651"/>
        <v>n/a</v>
      </c>
      <c r="BJ338" s="164" t="str">
        <f t="shared" si="651"/>
        <v>n/a</v>
      </c>
      <c r="BK338" s="106"/>
      <c r="BL338" s="106"/>
      <c r="BM338" s="106"/>
      <c r="BN338" s="106"/>
      <c r="BO338" s="106"/>
      <c r="BP338" s="106"/>
      <c r="BQ338" s="106"/>
      <c r="BR338" s="106"/>
      <c r="BS338" s="106"/>
      <c r="BT338" s="106">
        <f t="shared" si="652"/>
        <v>-8.4957521239379385E-3</v>
      </c>
      <c r="BU338" s="106">
        <f t="shared" si="652"/>
        <v>6.7954009433962348E-2</v>
      </c>
      <c r="BV338" s="106">
        <f t="shared" si="652"/>
        <v>3.6625119846596332E-2</v>
      </c>
      <c r="BW338" s="106">
        <f t="shared" si="652"/>
        <v>4.8768225238813523E-2</v>
      </c>
      <c r="BX338" s="106">
        <f t="shared" si="652"/>
        <v>4.6452433980273655E-2</v>
      </c>
      <c r="BY338" s="106">
        <f t="shared" si="652"/>
        <v>1.5524813350900279E-2</v>
      </c>
      <c r="BZ338" s="106">
        <f t="shared" si="652"/>
        <v>2.8289502156696011E-2</v>
      </c>
      <c r="CA338" s="106">
        <f t="shared" si="652"/>
        <v>2.4212535987898187E-2</v>
      </c>
      <c r="CB338" s="106">
        <f t="shared" si="652"/>
        <v>1.1010405182064309E-2</v>
      </c>
      <c r="CC338" s="106">
        <f t="shared" si="652"/>
        <v>1.3525877988265655E-2</v>
      </c>
      <c r="CD338" s="106">
        <f t="shared" si="652"/>
        <v>4.8311190162368955E-3</v>
      </c>
      <c r="CE338" s="106">
        <f t="shared" si="652"/>
        <v>1.6366718831507532E-2</v>
      </c>
      <c r="CF338" s="106">
        <f t="shared" si="652"/>
        <v>3.209541245536518E-2</v>
      </c>
      <c r="CG338" s="106">
        <f t="shared" si="652"/>
        <v>2.7196770993765718E-2</v>
      </c>
      <c r="CH338" s="106"/>
      <c r="CI338" s="106"/>
    </row>
    <row r="339" spans="2:87" ht="13.5" x14ac:dyDescent="0.35">
      <c r="B339" s="60" t="s">
        <v>217</v>
      </c>
      <c r="E339" s="76"/>
      <c r="F339" s="76"/>
      <c r="G339" s="76"/>
      <c r="H339" s="108">
        <f>+H332/D332-1</f>
        <v>0.13719400803799786</v>
      </c>
      <c r="I339" s="108">
        <f t="shared" si="649"/>
        <v>0.12204007285974505</v>
      </c>
      <c r="J339" s="108">
        <f t="shared" si="649"/>
        <v>0.14848236259228864</v>
      </c>
      <c r="K339" s="108">
        <f t="shared" si="649"/>
        <v>0.13037037037037047</v>
      </c>
      <c r="L339" s="108">
        <f t="shared" si="649"/>
        <v>0.10399999999999987</v>
      </c>
      <c r="M339" s="108">
        <f t="shared" si="649"/>
        <v>7.8570217096336492E-2</v>
      </c>
      <c r="N339" s="108">
        <f t="shared" si="649"/>
        <v>9.2500000000000027E-2</v>
      </c>
      <c r="O339" s="108">
        <f t="shared" si="649"/>
        <v>9.3221873491067031E-2</v>
      </c>
      <c r="P339" s="108">
        <f t="shared" si="649"/>
        <v>7.0336391437308965E-2</v>
      </c>
      <c r="Q339" s="108">
        <f t="shared" si="649"/>
        <v>8.6622031854285408E-2</v>
      </c>
      <c r="R339" s="108">
        <f t="shared" si="649"/>
        <v>8.5689430187037896E-2</v>
      </c>
      <c r="S339" s="108">
        <f t="shared" si="649"/>
        <v>8.4709924672922154E-2</v>
      </c>
      <c r="T339" s="108">
        <f t="shared" si="649"/>
        <v>7.1603375527426127E-2</v>
      </c>
      <c r="U339" s="108">
        <f t="shared" si="649"/>
        <v>5.3390729303138151E-2</v>
      </c>
      <c r="V339" s="108">
        <f t="shared" si="649"/>
        <v>5.6192034915439226E-2</v>
      </c>
      <c r="W339" s="108">
        <f t="shared" si="649"/>
        <v>5.0033978933061496E-2</v>
      </c>
      <c r="X339" s="108">
        <f t="shared" si="649"/>
        <v>4.7854550966849541E-2</v>
      </c>
      <c r="Y339" s="108">
        <f t="shared" si="649"/>
        <v>4.3592446124631978E-2</v>
      </c>
      <c r="Z339" s="108">
        <f t="shared" si="649"/>
        <v>3.5446337741607437E-2</v>
      </c>
      <c r="AA339" s="108">
        <f t="shared" si="649"/>
        <v>3.8971516505188042E-2</v>
      </c>
      <c r="AB339" s="108">
        <f t="shared" si="649"/>
        <v>3.127010184937018E-2</v>
      </c>
      <c r="AC339" s="108">
        <f t="shared" si="649"/>
        <v>3.0563199526142393E-2</v>
      </c>
      <c r="AD339" s="108">
        <f t="shared" si="649"/>
        <v>2.4887165645257614E-2</v>
      </c>
      <c r="AE339" s="108">
        <f t="shared" si="649"/>
        <v>2.1612506078193983E-2</v>
      </c>
      <c r="AF339" s="108">
        <f t="shared" si="649"/>
        <v>1.2770000279431093E-2</v>
      </c>
      <c r="AG339" s="108">
        <f t="shared" si="649"/>
        <v>3.419907826161861E-3</v>
      </c>
      <c r="AH339" s="108">
        <f t="shared" si="649"/>
        <v>-1.1946163670303322E-3</v>
      </c>
      <c r="AI339" s="108">
        <f t="shared" si="649"/>
        <v>-4.655562838924987E-3</v>
      </c>
      <c r="AJ339" s="108">
        <f t="shared" si="649"/>
        <v>-4.6725073007926055E-3</v>
      </c>
      <c r="AK339" s="108">
        <f t="shared" si="649"/>
        <v>-4.7633666405886288E-3</v>
      </c>
      <c r="AL339" s="108">
        <f t="shared" si="649"/>
        <v>-4.5122502259261621E-3</v>
      </c>
      <c r="AM339" s="108">
        <f t="shared" si="649"/>
        <v>7.860922146640803E-5</v>
      </c>
      <c r="AN339" s="108">
        <f t="shared" si="649"/>
        <v>-7.0536699779248924E-3</v>
      </c>
      <c r="AO339" s="108">
        <f t="shared" si="649"/>
        <v>7.6282517156656127E-4</v>
      </c>
      <c r="AP339" s="108">
        <f t="shared" si="649"/>
        <v>1.338144001697894E-2</v>
      </c>
      <c r="AQ339" s="108">
        <f t="shared" si="649"/>
        <v>2.1698939379196425E-2</v>
      </c>
      <c r="AR339" s="108">
        <f t="shared" si="649"/>
        <v>2.4024556943811559E-2</v>
      </c>
      <c r="AS339" s="108">
        <f t="shared" si="649"/>
        <v>2.4259280893625723E-2</v>
      </c>
      <c r="AT339" s="108">
        <f t="shared" si="649"/>
        <v>1.1424585401540455E-2</v>
      </c>
      <c r="AU339" s="108">
        <f t="shared" si="649"/>
        <v>-2.8695517294867745E-3</v>
      </c>
      <c r="AV339" s="108">
        <f t="shared" si="649"/>
        <v>-1.8693555793662942E-3</v>
      </c>
      <c r="AW339" s="108">
        <f t="shared" si="649"/>
        <v>-5.7301783984721189E-3</v>
      </c>
      <c r="AX339" s="108">
        <f t="shared" si="649"/>
        <v>1.3771485738960365E-3</v>
      </c>
      <c r="AY339" s="108">
        <f t="shared" si="649"/>
        <v>8.8283696979349902E-3</v>
      </c>
      <c r="AZ339" s="108">
        <f t="shared" si="649"/>
        <v>7.8736399262924195E-3</v>
      </c>
      <c r="BA339" s="108">
        <f t="shared" si="649"/>
        <v>1.2518096317968741E-2</v>
      </c>
      <c r="BB339" s="108">
        <f t="shared" si="649"/>
        <v>2.4835999615870907E-3</v>
      </c>
      <c r="BC339" s="108">
        <f t="shared" si="649"/>
        <v>2.6963651875160366E-3</v>
      </c>
      <c r="BD339" s="108">
        <f t="shared" si="649"/>
        <v>1.3794070887496401E-2</v>
      </c>
      <c r="BE339" s="108">
        <f t="shared" si="649"/>
        <v>8.6562216296408589E-3</v>
      </c>
      <c r="BF339" s="108">
        <f t="shared" si="649"/>
        <v>1.5630657255057301E-2</v>
      </c>
      <c r="BG339" s="108">
        <f t="shared" si="649"/>
        <v>2.151475616202303E-2</v>
      </c>
      <c r="BH339" s="134" t="str">
        <f t="shared" si="651"/>
        <v>n/a</v>
      </c>
      <c r="BI339" s="134" t="str">
        <f t="shared" si="651"/>
        <v>n/a</v>
      </c>
      <c r="BJ339" s="134" t="str">
        <f t="shared" si="651"/>
        <v>n/a</v>
      </c>
      <c r="BK339" s="108"/>
      <c r="BL339" s="108"/>
      <c r="BM339" s="108"/>
      <c r="BN339" s="108"/>
      <c r="BO339" s="108"/>
      <c r="BP339" s="108"/>
      <c r="BQ339" s="108"/>
      <c r="BR339" s="108"/>
      <c r="BS339" s="108"/>
      <c r="BT339" s="108">
        <f t="shared" si="652"/>
        <v>1.9704433497536922E-2</v>
      </c>
      <c r="BU339" s="108">
        <f t="shared" si="652"/>
        <v>0.13037037037037047</v>
      </c>
      <c r="BV339" s="108">
        <f t="shared" si="652"/>
        <v>9.3221873491067031E-2</v>
      </c>
      <c r="BW339" s="108">
        <f t="shared" si="652"/>
        <v>8.194308984822829E-2</v>
      </c>
      <c r="BX339" s="108">
        <f t="shared" si="652"/>
        <v>5.2719213126323217E-2</v>
      </c>
      <c r="BY339" s="108">
        <f t="shared" si="652"/>
        <v>3.8971516505188042E-2</v>
      </c>
      <c r="BZ339" s="108">
        <f t="shared" si="652"/>
        <v>2.1612506078193983E-2</v>
      </c>
      <c r="CA339" s="108">
        <f t="shared" si="652"/>
        <v>-4.655562838924987E-3</v>
      </c>
      <c r="CB339" s="108">
        <f t="shared" si="652"/>
        <v>7.860922146640803E-5</v>
      </c>
      <c r="CC339" s="108">
        <f t="shared" si="652"/>
        <v>2.1698939379196425E-2</v>
      </c>
      <c r="CD339" s="108">
        <f t="shared" si="652"/>
        <v>-2.8695517294867745E-3</v>
      </c>
      <c r="CE339" s="108">
        <f t="shared" si="652"/>
        <v>8.8283696979349902E-3</v>
      </c>
      <c r="CF339" s="108">
        <f t="shared" si="652"/>
        <v>2.6963651875160366E-3</v>
      </c>
      <c r="CG339" s="108">
        <f t="shared" si="652"/>
        <v>2.151475616202303E-2</v>
      </c>
      <c r="CH339" s="108"/>
      <c r="CI339" s="108"/>
    </row>
    <row r="340" spans="2:87" x14ac:dyDescent="0.2">
      <c r="B340" s="101" t="s">
        <v>263</v>
      </c>
      <c r="E340" s="57"/>
      <c r="F340" s="57"/>
      <c r="G340" s="57"/>
      <c r="H340" s="106">
        <f>+H333/D333-1</f>
        <v>8.4717045069468977E-3</v>
      </c>
      <c r="I340" s="106">
        <f t="shared" si="649"/>
        <v>5.9726044731264416E-2</v>
      </c>
      <c r="J340" s="106">
        <f t="shared" si="649"/>
        <v>7.2312286689419913E-2</v>
      </c>
      <c r="K340" s="106">
        <f t="shared" si="649"/>
        <v>6.2787036534390106E-2</v>
      </c>
      <c r="L340" s="106">
        <f t="shared" si="649"/>
        <v>6.8722924349289283E-2</v>
      </c>
      <c r="M340" s="106">
        <f t="shared" si="649"/>
        <v>2.2953783570002662E-2</v>
      </c>
      <c r="N340" s="106">
        <f t="shared" si="649"/>
        <v>1.6951362345420051E-2</v>
      </c>
      <c r="O340" s="106">
        <f t="shared" si="649"/>
        <v>2.3844814605684217E-2</v>
      </c>
      <c r="P340" s="106">
        <f t="shared" si="649"/>
        <v>2.6213475833247735E-2</v>
      </c>
      <c r="Q340" s="106">
        <f t="shared" si="649"/>
        <v>4.8528765920070382E-2</v>
      </c>
      <c r="R340" s="106">
        <f t="shared" si="649"/>
        <v>5.540531797890913E-2</v>
      </c>
      <c r="S340" s="106">
        <f t="shared" si="649"/>
        <v>5.5601712282700611E-2</v>
      </c>
      <c r="T340" s="106">
        <f t="shared" si="649"/>
        <v>4.911966436467341E-2</v>
      </c>
      <c r="U340" s="106">
        <f t="shared" si="649"/>
        <v>3.9863325740318922E-2</v>
      </c>
      <c r="V340" s="106">
        <f t="shared" si="649"/>
        <v>4.4275489679442837E-2</v>
      </c>
      <c r="W340" s="106">
        <f t="shared" si="649"/>
        <v>3.3481221821375362E-2</v>
      </c>
      <c r="X340" s="106">
        <f t="shared" si="649"/>
        <v>3.3446917058498782E-2</v>
      </c>
      <c r="Y340" s="106">
        <f t="shared" si="649"/>
        <v>3.0853076736476082E-2</v>
      </c>
      <c r="Z340" s="106">
        <f t="shared" si="649"/>
        <v>1.8993209495482333E-2</v>
      </c>
      <c r="AA340" s="106">
        <f t="shared" si="649"/>
        <v>2.0895627793981575E-2</v>
      </c>
      <c r="AB340" s="106">
        <f t="shared" si="649"/>
        <v>1.4563244762761052E-2</v>
      </c>
      <c r="AC340" s="106">
        <f t="shared" si="649"/>
        <v>1.4182822275430773E-2</v>
      </c>
      <c r="AD340" s="106">
        <f t="shared" si="649"/>
        <v>1.124690223039404E-2</v>
      </c>
      <c r="AE340" s="106">
        <f t="shared" si="649"/>
        <v>1.1818238878545939E-2</v>
      </c>
      <c r="AF340" s="106">
        <f t="shared" si="649"/>
        <v>6.3954810827204778E-3</v>
      </c>
      <c r="AG340" s="106">
        <f t="shared" si="649"/>
        <v>3.2455824017310064E-3</v>
      </c>
      <c r="AH340" s="106">
        <f t="shared" si="649"/>
        <v>7.0735948598543708E-4</v>
      </c>
      <c r="AI340" s="106">
        <f t="shared" si="649"/>
        <v>-2.1818635988528623E-3</v>
      </c>
      <c r="AJ340" s="106">
        <f t="shared" si="649"/>
        <v>-5.1069914713242071E-3</v>
      </c>
      <c r="AK340" s="106">
        <f t="shared" si="649"/>
        <v>-3.8679613433418858E-3</v>
      </c>
      <c r="AL340" s="106">
        <f t="shared" si="649"/>
        <v>-3.1532575933226337E-3</v>
      </c>
      <c r="AM340" s="106">
        <f t="shared" si="649"/>
        <v>-2.4160698023577565E-3</v>
      </c>
      <c r="AN340" s="106">
        <f t="shared" si="649"/>
        <v>-3.680699332873183E-3</v>
      </c>
      <c r="AO340" s="106">
        <f t="shared" si="649"/>
        <v>-1.5871612286587622E-3</v>
      </c>
      <c r="AP340" s="106">
        <f t="shared" si="649"/>
        <v>6.9432486991658493E-3</v>
      </c>
      <c r="AQ340" s="106">
        <f t="shared" si="649"/>
        <v>1.0862411124472171E-2</v>
      </c>
      <c r="AR340" s="106">
        <f t="shared" si="649"/>
        <v>1.3305341074491439E-2</v>
      </c>
      <c r="AS340" s="106">
        <f t="shared" si="649"/>
        <v>5.6220681929566307E-3</v>
      </c>
      <c r="AT340" s="106">
        <f t="shared" si="649"/>
        <v>2.835381896191036E-3</v>
      </c>
      <c r="AU340" s="106">
        <f t="shared" si="649"/>
        <v>-5.9689783152006015E-3</v>
      </c>
      <c r="AV340" s="106">
        <f t="shared" si="649"/>
        <v>-1.2038942299137378E-2</v>
      </c>
      <c r="AW340" s="106">
        <f t="shared" si="649"/>
        <v>-3.0913919972133108E-3</v>
      </c>
      <c r="AX340" s="106">
        <f t="shared" si="649"/>
        <v>-1.8847632613969711E-3</v>
      </c>
      <c r="AY340" s="106">
        <f t="shared" si="649"/>
        <v>4.2386982935762596E-3</v>
      </c>
      <c r="AZ340" s="106">
        <f t="shared" si="649"/>
        <v>1.417191338892132E-2</v>
      </c>
      <c r="BA340" s="106">
        <f t="shared" si="649"/>
        <v>1.6872381687077276E-2</v>
      </c>
      <c r="BB340" s="106">
        <f t="shared" si="649"/>
        <v>1.095382862983274E-2</v>
      </c>
      <c r="BC340" s="106">
        <f t="shared" si="649"/>
        <v>1.8617045464880633E-2</v>
      </c>
      <c r="BD340" s="106">
        <f t="shared" si="649"/>
        <v>2.068917832284245E-2</v>
      </c>
      <c r="BE340" s="106">
        <f t="shared" si="649"/>
        <v>1.6906850827431485E-2</v>
      </c>
      <c r="BF340" s="106">
        <f t="shared" si="649"/>
        <v>1.9711331162371115E-2</v>
      </c>
      <c r="BG340" s="106">
        <f t="shared" si="649"/>
        <v>2.0234910277324714E-2</v>
      </c>
      <c r="BH340" s="164" t="str">
        <f t="shared" si="651"/>
        <v>n/a</v>
      </c>
      <c r="BI340" s="164" t="str">
        <f t="shared" si="651"/>
        <v>n/a</v>
      </c>
      <c r="BJ340" s="164" t="str">
        <f t="shared" si="651"/>
        <v>n/a</v>
      </c>
      <c r="BK340" s="106"/>
      <c r="BL340" s="106"/>
      <c r="BM340" s="106"/>
      <c r="BN340" s="106"/>
      <c r="BO340" s="106"/>
      <c r="BP340" s="106"/>
      <c r="BQ340" s="106"/>
      <c r="BR340" s="106"/>
      <c r="BS340" s="106"/>
      <c r="BT340" s="106">
        <f t="shared" si="652"/>
        <v>4.6586059743954467E-2</v>
      </c>
      <c r="BU340" s="106">
        <f t="shared" si="652"/>
        <v>6.2787036534390106E-2</v>
      </c>
      <c r="BV340" s="106">
        <f t="shared" si="652"/>
        <v>2.3844814605684217E-2</v>
      </c>
      <c r="BW340" s="106">
        <f t="shared" si="652"/>
        <v>4.7661819102288838E-2</v>
      </c>
      <c r="BX340" s="106">
        <f t="shared" si="652"/>
        <v>4.1313644799483518E-2</v>
      </c>
      <c r="BY340" s="106">
        <f t="shared" si="652"/>
        <v>2.0895627793981575E-2</v>
      </c>
      <c r="BZ340" s="106">
        <f t="shared" si="652"/>
        <v>1.1818238878545939E-2</v>
      </c>
      <c r="CA340" s="106">
        <f t="shared" si="652"/>
        <v>-2.1818635988528623E-3</v>
      </c>
      <c r="CB340" s="106">
        <f t="shared" si="652"/>
        <v>-2.4160698023577565E-3</v>
      </c>
      <c r="CC340" s="106">
        <f t="shared" si="652"/>
        <v>1.0862411124472171E-2</v>
      </c>
      <c r="CD340" s="106">
        <f t="shared" si="652"/>
        <v>-5.9689783152006015E-3</v>
      </c>
      <c r="CE340" s="106">
        <f t="shared" si="652"/>
        <v>4.2386982935762596E-3</v>
      </c>
      <c r="CF340" s="106">
        <f t="shared" si="652"/>
        <v>1.8617045464880633E-2</v>
      </c>
      <c r="CG340" s="106">
        <f t="shared" si="652"/>
        <v>2.0234910277324714E-2</v>
      </c>
      <c r="CH340" s="106"/>
      <c r="CI340" s="106"/>
    </row>
    <row r="341" spans="2:87" x14ac:dyDescent="0.2">
      <c r="AK341" s="123"/>
      <c r="AL341" s="106"/>
    </row>
    <row r="342" spans="2:87" x14ac:dyDescent="0.2">
      <c r="B342" s="62" t="s">
        <v>257</v>
      </c>
    </row>
    <row r="343" spans="2:87" x14ac:dyDescent="0.2">
      <c r="B343" s="60" t="s">
        <v>214</v>
      </c>
      <c r="E343" s="106">
        <f t="shared" ref="E343:BG343" si="653">+E329/D329-1</f>
        <v>-1.6378849919886029E-2</v>
      </c>
      <c r="F343" s="106">
        <f t="shared" si="653"/>
        <v>2.9738562091503162E-2</v>
      </c>
      <c r="G343" s="106">
        <f t="shared" si="653"/>
        <v>6.2111801242237252E-3</v>
      </c>
      <c r="H343" s="106">
        <f t="shared" si="653"/>
        <v>2.0449897750509649E-3</v>
      </c>
      <c r="I343" s="106">
        <f t="shared" si="653"/>
        <v>7.4725274725274682E-2</v>
      </c>
      <c r="J343" s="106">
        <f t="shared" si="653"/>
        <v>1.7676767676767735E-2</v>
      </c>
      <c r="K343" s="106">
        <f t="shared" si="653"/>
        <v>-9.0106325464045511E-4</v>
      </c>
      <c r="L343" s="106">
        <f t="shared" si="653"/>
        <v>1.4311735623211419E-3</v>
      </c>
      <c r="M343" s="106">
        <f t="shared" si="653"/>
        <v>-8.5021255313827426E-3</v>
      </c>
      <c r="N343" s="106">
        <f t="shared" si="653"/>
        <v>-7.3260073260084102E-4</v>
      </c>
      <c r="O343" s="106">
        <f t="shared" si="653"/>
        <v>1.530852567122043E-3</v>
      </c>
      <c r="P343" s="106">
        <f t="shared" si="653"/>
        <v>1.9069325735992404E-2</v>
      </c>
      <c r="Q343" s="106">
        <f t="shared" si="653"/>
        <v>6.1042075430564058E-3</v>
      </c>
      <c r="R343" s="106">
        <f t="shared" si="653"/>
        <v>8.9886049968150861E-3</v>
      </c>
      <c r="S343" s="106">
        <f t="shared" si="653"/>
        <v>1.0675787728026576E-2</v>
      </c>
      <c r="T343" s="106">
        <f t="shared" si="653"/>
        <v>1.535663770458684E-2</v>
      </c>
      <c r="U343" s="106">
        <f t="shared" si="653"/>
        <v>3.3986928104574599E-3</v>
      </c>
      <c r="V343" s="106">
        <f t="shared" si="653"/>
        <v>9.8364844149207986E-3</v>
      </c>
      <c r="W343" s="106">
        <f t="shared" si="653"/>
        <v>3.1637717121588693E-3</v>
      </c>
      <c r="X343" s="106">
        <f t="shared" si="653"/>
        <v>1.571125265392781E-2</v>
      </c>
      <c r="Y343" s="106">
        <f t="shared" si="653"/>
        <v>4.2865890998162737E-3</v>
      </c>
      <c r="Z343" s="106">
        <f t="shared" si="653"/>
        <v>-4.7768910868828396E-4</v>
      </c>
      <c r="AA343" s="106">
        <f t="shared" si="653"/>
        <v>2.734257512372551E-3</v>
      </c>
      <c r="AB343" s="106">
        <f t="shared" si="653"/>
        <v>8.3759795298257167E-3</v>
      </c>
      <c r="AC343" s="106">
        <f t="shared" si="653"/>
        <v>-4.9050369478631506E-3</v>
      </c>
      <c r="AD343" s="106">
        <f t="shared" si="653"/>
        <v>3.8178415470992988E-3</v>
      </c>
      <c r="AE343" s="106">
        <f t="shared" si="653"/>
        <v>2.4806654020137486E-3</v>
      </c>
      <c r="AF343" s="106">
        <f t="shared" si="653"/>
        <v>-1.8518518518518823E-3</v>
      </c>
      <c r="AG343" s="106">
        <f t="shared" si="653"/>
        <v>-3.026634382566562E-3</v>
      </c>
      <c r="AH343" s="106">
        <f t="shared" si="653"/>
        <v>-1.7605231268721377E-3</v>
      </c>
      <c r="AI343" s="106">
        <f t="shared" si="653"/>
        <v>-5.4054054054053502E-3</v>
      </c>
      <c r="AJ343" s="106">
        <f t="shared" si="653"/>
        <v>-2.9090745083889535E-3</v>
      </c>
      <c r="AK343" s="106">
        <f t="shared" si="653"/>
        <v>0</v>
      </c>
      <c r="AL343" s="106">
        <f t="shared" si="653"/>
        <v>-4.1322314049587749E-3</v>
      </c>
      <c r="AM343" s="106">
        <f t="shared" si="653"/>
        <v>5.4054054054053502E-3</v>
      </c>
      <c r="AN343" s="106">
        <f t="shared" si="653"/>
        <v>-4.115226337448652E-3</v>
      </c>
      <c r="AO343" s="106">
        <f t="shared" si="653"/>
        <v>1.2559492332100408E-3</v>
      </c>
      <c r="AP343" s="106">
        <f t="shared" si="653"/>
        <v>-1.5804628807725152E-3</v>
      </c>
      <c r="AQ343" s="106">
        <f t="shared" si="653"/>
        <v>1.2374125277350156E-3</v>
      </c>
      <c r="AR343" s="106">
        <f t="shared" si="653"/>
        <v>6.0328687330974962E-3</v>
      </c>
      <c r="AS343" s="106">
        <f t="shared" si="653"/>
        <v>3.4855769230768274E-3</v>
      </c>
      <c r="AT343" s="106">
        <f t="shared" si="653"/>
        <v>-6.2190532778767516E-3</v>
      </c>
      <c r="AU343" s="106">
        <f t="shared" si="653"/>
        <v>-1.6670621737067015E-2</v>
      </c>
      <c r="AV343" s="106">
        <f t="shared" si="653"/>
        <v>-3.8610038610038533E-3</v>
      </c>
      <c r="AW343" s="106">
        <f t="shared" si="653"/>
        <v>0</v>
      </c>
      <c r="AX343" s="106">
        <f t="shared" si="653"/>
        <v>-2.5739267118578546E-3</v>
      </c>
      <c r="AY343" s="106">
        <f t="shared" si="653"/>
        <v>-8.8993612712261472E-3</v>
      </c>
      <c r="AZ343" s="106">
        <f t="shared" si="653"/>
        <v>1.3064248805694234E-3</v>
      </c>
      <c r="BA343" s="106">
        <f t="shared" si="653"/>
        <v>1.294836116264575E-3</v>
      </c>
      <c r="BB343" s="106">
        <f t="shared" si="653"/>
        <v>-7.5187969924812581E-3</v>
      </c>
      <c r="BC343" s="106">
        <f t="shared" si="653"/>
        <v>1.0152284263959421E-2</v>
      </c>
      <c r="BD343" s="106">
        <f t="shared" si="653"/>
        <v>-6.1833330219873694E-3</v>
      </c>
      <c r="BE343" s="106">
        <f t="shared" si="653"/>
        <v>6.2592592592591867E-3</v>
      </c>
      <c r="BF343" s="106">
        <f t="shared" si="653"/>
        <v>1.2421906397281912E-3</v>
      </c>
      <c r="BG343" s="106">
        <f t="shared" si="653"/>
        <v>6.1395247754274518E-3</v>
      </c>
      <c r="BH343" s="164" t="str">
        <f>+IFERROR(BH329/BG329-1,"n/a")</f>
        <v>n/a</v>
      </c>
      <c r="BI343" s="164" t="str">
        <f>+IFERROR(BI329/BH329-1,"n/a")</f>
        <v>n/a</v>
      </c>
      <c r="BJ343" s="164" t="str">
        <f>+IFERROR(BJ329/BI329-1,"n/a")</f>
        <v>n/a</v>
      </c>
      <c r="BK343" s="106"/>
      <c r="BL343" s="106"/>
      <c r="BM343" s="106"/>
      <c r="BN343" s="106"/>
      <c r="BO343" s="106"/>
      <c r="BP343" s="76"/>
      <c r="BQ343" s="76"/>
      <c r="BR343" s="76"/>
      <c r="BS343" s="76"/>
      <c r="BT343" s="76"/>
      <c r="BU343" s="76"/>
      <c r="BV343" s="76"/>
      <c r="BW343" s="76"/>
      <c r="BX343" s="76"/>
      <c r="BY343" s="76"/>
      <c r="BZ343" s="76"/>
      <c r="CA343" s="76"/>
      <c r="CB343" s="76"/>
      <c r="CC343" s="76"/>
      <c r="CD343" s="76"/>
    </row>
    <row r="344" spans="2:87" x14ac:dyDescent="0.2">
      <c r="B344" s="60" t="s">
        <v>215</v>
      </c>
      <c r="E344" s="106">
        <f t="shared" ref="E344:AK347" si="654">+E330/D330-1</f>
        <v>-1.6682035375974569E-2</v>
      </c>
      <c r="F344" s="106">
        <f t="shared" si="654"/>
        <v>-7.0447340612900256E-5</v>
      </c>
      <c r="G344" s="106">
        <f t="shared" si="654"/>
        <v>3.8774561097546734E-2</v>
      </c>
      <c r="H344" s="106">
        <f t="shared" si="654"/>
        <v>2.1062909750313885E-2</v>
      </c>
      <c r="I344" s="106">
        <f t="shared" si="654"/>
        <v>3.4198113207548619E-3</v>
      </c>
      <c r="J344" s="106">
        <f t="shared" si="654"/>
        <v>1.9702853885345872E-2</v>
      </c>
      <c r="K344" s="106">
        <f t="shared" si="654"/>
        <v>2.2254568979459766E-2</v>
      </c>
      <c r="L344" s="106">
        <f t="shared" si="654"/>
        <v>1.8462708839277919E-2</v>
      </c>
      <c r="M344" s="106">
        <f t="shared" si="654"/>
        <v>-1.5671801454856693E-2</v>
      </c>
      <c r="N344" s="106">
        <f t="shared" si="654"/>
        <v>1.0215081361326428E-2</v>
      </c>
      <c r="O344" s="106">
        <f t="shared" si="654"/>
        <v>2.3874521072796862E-2</v>
      </c>
      <c r="P344" s="106">
        <f t="shared" si="654"/>
        <v>2.7672070565979645E-2</v>
      </c>
      <c r="Q344" s="106">
        <f t="shared" si="654"/>
        <v>5.5455142951033043E-3</v>
      </c>
      <c r="R344" s="106">
        <f t="shared" si="654"/>
        <v>1.799649625736599E-2</v>
      </c>
      <c r="S344" s="106">
        <f t="shared" si="654"/>
        <v>1.5165233137166112E-2</v>
      </c>
      <c r="T344" s="106">
        <f t="shared" si="654"/>
        <v>1.5810487090763825E-2</v>
      </c>
      <c r="U344" s="106">
        <f t="shared" si="654"/>
        <v>4.3525204129835071E-3</v>
      </c>
      <c r="V344" s="106">
        <f t="shared" si="654"/>
        <v>1.5219102597743284E-2</v>
      </c>
      <c r="W344" s="106">
        <f t="shared" si="654"/>
        <v>6.5818341377796852E-3</v>
      </c>
      <c r="X344" s="106">
        <f t="shared" si="654"/>
        <v>1.6601870337291214E-2</v>
      </c>
      <c r="Y344" s="106">
        <f t="shared" si="654"/>
        <v>3.0010718113615553E-4</v>
      </c>
      <c r="Z344" s="106">
        <f t="shared" si="654"/>
        <v>8.9529379003063791E-3</v>
      </c>
      <c r="AA344" s="106">
        <f t="shared" si="654"/>
        <v>4.5310195458350133E-3</v>
      </c>
      <c r="AB344" s="106">
        <f t="shared" si="654"/>
        <v>5.33345845845834E-3</v>
      </c>
      <c r="AC344" s="106">
        <f t="shared" si="654"/>
        <v>-1.9208468377388543E-3</v>
      </c>
      <c r="AD344" s="106">
        <f t="shared" si="654"/>
        <v>3.9914601318109533E-3</v>
      </c>
      <c r="AE344" s="106">
        <f t="shared" si="654"/>
        <v>2.9101002865330461E-3</v>
      </c>
      <c r="AF344" s="106">
        <f t="shared" si="654"/>
        <v>4.6901280890152552E-3</v>
      </c>
      <c r="AG344" s="106">
        <f t="shared" si="654"/>
        <v>-1.9350811485643327E-3</v>
      </c>
      <c r="AH344" s="106">
        <f t="shared" si="654"/>
        <v>-4.0549856047955579E-5</v>
      </c>
      <c r="AI344" s="106">
        <f t="shared" si="654"/>
        <v>-5.444860919313399E-3</v>
      </c>
      <c r="AJ344" s="106">
        <f t="shared" si="654"/>
        <v>-8.5225368432140236E-4</v>
      </c>
      <c r="AK344" s="106">
        <f t="shared" si="654"/>
        <v>-8.0070167496604228E-3</v>
      </c>
      <c r="AL344" s="106">
        <f t="shared" ref="AL344:BG344" si="655">+AL330/AK330-1</f>
        <v>-9.2712066905620283E-4</v>
      </c>
      <c r="AM344" s="106">
        <f t="shared" si="655"/>
        <v>-1.5861326686681387E-3</v>
      </c>
      <c r="AN344" s="106">
        <f t="shared" si="655"/>
        <v>6.26108156028371E-3</v>
      </c>
      <c r="AO344" s="106">
        <f t="shared" si="655"/>
        <v>-2.5974025974024872E-3</v>
      </c>
      <c r="AP344" s="106">
        <f t="shared" si="655"/>
        <v>1.7889087656528524E-3</v>
      </c>
      <c r="AQ344" s="106">
        <f t="shared" si="655"/>
        <v>2.6967005076141692E-3</v>
      </c>
      <c r="AR344" s="106">
        <f t="shared" si="655"/>
        <v>6.7524546764519133E-3</v>
      </c>
      <c r="AS344" s="106">
        <f t="shared" si="655"/>
        <v>-9.7560975609756184E-3</v>
      </c>
      <c r="AT344" s="106">
        <f t="shared" si="655"/>
        <v>-7.2639225181597711E-3</v>
      </c>
      <c r="AU344" s="106">
        <f t="shared" si="655"/>
        <v>-4.62459407645055E-3</v>
      </c>
      <c r="AV344" s="106">
        <f t="shared" si="655"/>
        <v>-6.2402136870222114E-3</v>
      </c>
      <c r="AW344" s="106">
        <f t="shared" si="655"/>
        <v>6.2413314840492617E-4</v>
      </c>
      <c r="AX344" s="106">
        <f t="shared" si="655"/>
        <v>-3.8579712153763435E-3</v>
      </c>
      <c r="AY344" s="106">
        <f t="shared" si="655"/>
        <v>-6.1513428023967087E-3</v>
      </c>
      <c r="AZ344" s="106">
        <f t="shared" si="655"/>
        <v>1.4919248695436815E-2</v>
      </c>
      <c r="BA344" s="106">
        <f t="shared" si="655"/>
        <v>1.3645567391495694E-2</v>
      </c>
      <c r="BB344" s="106">
        <f t="shared" si="655"/>
        <v>-2.450980392156854E-3</v>
      </c>
      <c r="BC344" s="106">
        <f t="shared" si="655"/>
        <v>5.7654414090055894E-3</v>
      </c>
      <c r="BD344" s="106">
        <f t="shared" si="655"/>
        <v>4.0017928031765848E-5</v>
      </c>
      <c r="BE344" s="106">
        <f t="shared" si="655"/>
        <v>4.8899755501221609E-3</v>
      </c>
      <c r="BF344" s="106">
        <f t="shared" si="655"/>
        <v>2.450980392156854E-3</v>
      </c>
      <c r="BG344" s="106">
        <f t="shared" si="655"/>
        <v>3.2573289902280145E-3</v>
      </c>
      <c r="BH344" s="164" t="str">
        <f t="shared" ref="BH344:BJ347" si="656">+IFERROR(BH330/BG330-1,"n/a")</f>
        <v>n/a</v>
      </c>
      <c r="BI344" s="164" t="str">
        <f t="shared" si="656"/>
        <v>n/a</v>
      </c>
      <c r="BJ344" s="164" t="str">
        <f t="shared" si="656"/>
        <v>n/a</v>
      </c>
      <c r="BK344" s="106"/>
      <c r="BL344" s="106"/>
      <c r="BM344" s="106"/>
      <c r="BN344" s="106"/>
      <c r="BO344" s="106"/>
      <c r="BP344" s="76"/>
      <c r="BQ344" s="76"/>
      <c r="BR344" s="76"/>
      <c r="BS344" s="76"/>
      <c r="BT344" s="76"/>
      <c r="BU344" s="76"/>
      <c r="BV344" s="76"/>
      <c r="BW344" s="76"/>
      <c r="BX344" s="76"/>
      <c r="BY344" s="76"/>
      <c r="BZ344" s="76"/>
      <c r="CA344" s="76"/>
      <c r="CB344" s="76"/>
      <c r="CC344" s="76"/>
      <c r="CD344" s="76"/>
    </row>
    <row r="345" spans="2:87" x14ac:dyDescent="0.2">
      <c r="B345" s="60" t="s">
        <v>216</v>
      </c>
      <c r="E345" s="106">
        <f t="shared" si="654"/>
        <v>-2.6442307692307598E-2</v>
      </c>
      <c r="F345" s="106">
        <f t="shared" si="654"/>
        <v>1.9469026548672552E-2</v>
      </c>
      <c r="G345" s="106">
        <f t="shared" si="654"/>
        <v>-2.9522275899087513E-2</v>
      </c>
      <c r="H345" s="106">
        <f t="shared" si="654"/>
        <v>-4.8076923076922906E-3</v>
      </c>
      <c r="I345" s="106">
        <f t="shared" si="654"/>
        <v>5.8429118773946298E-2</v>
      </c>
      <c r="J345" s="106">
        <f t="shared" si="654"/>
        <v>2.3529411764705799E-2</v>
      </c>
      <c r="K345" s="106">
        <f t="shared" si="654"/>
        <v>-9.4339622641509413E-3</v>
      </c>
      <c r="L345" s="106">
        <f t="shared" si="654"/>
        <v>2.6780626780626759E-2</v>
      </c>
      <c r="M345" s="106">
        <f t="shared" si="654"/>
        <v>-5.2397429560059328E-3</v>
      </c>
      <c r="N345" s="106">
        <f t="shared" si="654"/>
        <v>6.2127445218707056E-3</v>
      </c>
      <c r="O345" s="106">
        <f t="shared" si="654"/>
        <v>8.6391546480080184E-3</v>
      </c>
      <c r="P345" s="106">
        <f t="shared" si="654"/>
        <v>1.9648820865859395E-2</v>
      </c>
      <c r="Q345" s="106">
        <f t="shared" si="654"/>
        <v>1.9889424690442192E-2</v>
      </c>
      <c r="R345" s="106">
        <f t="shared" si="654"/>
        <v>8.4997875053123284E-3</v>
      </c>
      <c r="S345" s="106">
        <f t="shared" si="654"/>
        <v>9.3167701863354768E-3</v>
      </c>
      <c r="T345" s="106">
        <f t="shared" si="654"/>
        <v>1.9076923076923213E-2</v>
      </c>
      <c r="U345" s="106">
        <f t="shared" si="654"/>
        <v>4.0650406504065817E-3</v>
      </c>
      <c r="V345" s="106">
        <f t="shared" si="654"/>
        <v>2.153858825467414E-2</v>
      </c>
      <c r="W345" s="106">
        <f t="shared" si="654"/>
        <v>-8.0988054261996734E-3</v>
      </c>
      <c r="X345" s="106">
        <f t="shared" si="654"/>
        <v>1.7345988268170576E-2</v>
      </c>
      <c r="Y345" s="106">
        <f t="shared" si="654"/>
        <v>1.6033187577082497E-3</v>
      </c>
      <c r="Z345" s="106">
        <f t="shared" si="654"/>
        <v>1.9091204734216216E-3</v>
      </c>
      <c r="AA345" s="106">
        <f t="shared" si="654"/>
        <v>-5.2870370370371456E-3</v>
      </c>
      <c r="AB345" s="106">
        <f t="shared" si="654"/>
        <v>1.504339771518759E-2</v>
      </c>
      <c r="AC345" s="106">
        <f t="shared" si="654"/>
        <v>6.2480731682250656E-3</v>
      </c>
      <c r="AD345" s="106">
        <f t="shared" si="654"/>
        <v>1.0200612036723733E-3</v>
      </c>
      <c r="AE345" s="106">
        <f t="shared" si="654"/>
        <v>5.7335745203177524E-3</v>
      </c>
      <c r="AF345" s="106">
        <f t="shared" si="654"/>
        <v>1.3525619321708593E-2</v>
      </c>
      <c r="AG345" s="106">
        <f t="shared" si="654"/>
        <v>4.7581874279767344E-3</v>
      </c>
      <c r="AH345" s="106">
        <f t="shared" si="654"/>
        <v>4.8376065524546874E-4</v>
      </c>
      <c r="AI345" s="106">
        <f t="shared" si="654"/>
        <v>5.2723988145984002E-3</v>
      </c>
      <c r="AJ345" s="106">
        <f t="shared" si="654"/>
        <v>5.4748672602937809E-3</v>
      </c>
      <c r="AK345" s="106">
        <f t="shared" si="654"/>
        <v>7.8912980043390757E-3</v>
      </c>
      <c r="AL345" s="106">
        <f t="shared" ref="AL345:BG345" si="657">+AL331/AK331-1</f>
        <v>1.7016789099668639E-3</v>
      </c>
      <c r="AM345" s="106">
        <f t="shared" si="657"/>
        <v>-4.061987663453559E-3</v>
      </c>
      <c r="AN345" s="106">
        <f t="shared" si="657"/>
        <v>3.8213049676962818E-3</v>
      </c>
      <c r="AO345" s="106">
        <f t="shared" si="657"/>
        <v>2.5174476570291038E-3</v>
      </c>
      <c r="AP345" s="106">
        <f t="shared" si="657"/>
        <v>9.4479088917247545E-3</v>
      </c>
      <c r="AQ345" s="106">
        <f t="shared" si="657"/>
        <v>-2.2940079222404375E-3</v>
      </c>
      <c r="AR345" s="106">
        <f t="shared" si="657"/>
        <v>4.497490055137332E-3</v>
      </c>
      <c r="AS345" s="106">
        <f t="shared" si="657"/>
        <v>-1.3262712521116438E-2</v>
      </c>
      <c r="AT345" s="106">
        <f t="shared" si="657"/>
        <v>1.8649528731316867E-2</v>
      </c>
      <c r="AU345" s="106">
        <f t="shared" si="657"/>
        <v>-4.7827568365660378E-3</v>
      </c>
      <c r="AV345" s="106">
        <f t="shared" si="657"/>
        <v>-4.2398811084884969E-3</v>
      </c>
      <c r="AW345" s="106">
        <f t="shared" si="657"/>
        <v>8.154774287497224E-3</v>
      </c>
      <c r="AX345" s="106">
        <f t="shared" si="657"/>
        <v>1.1182010279386478E-2</v>
      </c>
      <c r="AY345" s="106">
        <f t="shared" si="657"/>
        <v>1.242236024844745E-3</v>
      </c>
      <c r="AZ345" s="106">
        <f t="shared" si="657"/>
        <v>1.1023721472150916E-2</v>
      </c>
      <c r="BA345" s="106">
        <f t="shared" si="657"/>
        <v>4.6857264636523954E-3</v>
      </c>
      <c r="BB345" s="106">
        <f t="shared" si="657"/>
        <v>5.3727462364336898E-3</v>
      </c>
      <c r="BC345" s="106">
        <f t="shared" si="657"/>
        <v>1.0650887573964374E-2</v>
      </c>
      <c r="BD345" s="106">
        <f t="shared" si="657"/>
        <v>1.2983153738935993E-2</v>
      </c>
      <c r="BE345" s="106">
        <f t="shared" si="657"/>
        <v>1.7042024256226362E-3</v>
      </c>
      <c r="BF345" s="106">
        <f t="shared" si="657"/>
        <v>3.0303857373374932E-3</v>
      </c>
      <c r="BG345" s="106">
        <f t="shared" si="657"/>
        <v>9.247859728723995E-3</v>
      </c>
      <c r="BH345" s="164" t="str">
        <f t="shared" si="656"/>
        <v>n/a</v>
      </c>
      <c r="BI345" s="164" t="str">
        <f t="shared" si="656"/>
        <v>n/a</v>
      </c>
      <c r="BJ345" s="164" t="str">
        <f t="shared" si="656"/>
        <v>n/a</v>
      </c>
      <c r="BK345" s="106"/>
      <c r="BL345" s="106"/>
      <c r="BM345" s="106"/>
      <c r="BN345" s="106"/>
      <c r="BO345" s="106"/>
      <c r="BP345" s="76"/>
      <c r="BQ345" s="76"/>
      <c r="BR345" s="76"/>
      <c r="BS345" s="76"/>
      <c r="BT345" s="76"/>
      <c r="BU345" s="76"/>
      <c r="BV345" s="76"/>
      <c r="BW345" s="76"/>
      <c r="BX345" s="76"/>
      <c r="BY345" s="76"/>
      <c r="BZ345" s="76"/>
      <c r="CA345" s="76"/>
      <c r="CB345" s="76"/>
      <c r="CC345" s="76"/>
      <c r="CD345" s="76"/>
    </row>
    <row r="346" spans="2:87" ht="13.5" x14ac:dyDescent="0.35">
      <c r="B346" s="60" t="s">
        <v>217</v>
      </c>
      <c r="E346" s="108">
        <f t="shared" si="654"/>
        <v>4.6218487394958041E-2</v>
      </c>
      <c r="F346" s="108">
        <f t="shared" si="654"/>
        <v>-1.851851851851849E-2</v>
      </c>
      <c r="G346" s="108">
        <f t="shared" si="654"/>
        <v>1.8867924528301883E-2</v>
      </c>
      <c r="H346" s="108">
        <f t="shared" si="654"/>
        <v>8.6956521739130377E-2</v>
      </c>
      <c r="I346" s="108">
        <f t="shared" si="654"/>
        <v>3.2276867030965439E-2</v>
      </c>
      <c r="J346" s="108">
        <f t="shared" si="654"/>
        <v>4.6113306982871194E-3</v>
      </c>
      <c r="K346" s="108">
        <f t="shared" si="654"/>
        <v>2.8000000000001357E-3</v>
      </c>
      <c r="L346" s="108">
        <f t="shared" si="654"/>
        <v>6.1598951507208177E-2</v>
      </c>
      <c r="M346" s="108">
        <f t="shared" si="654"/>
        <v>8.4991708126036514E-3</v>
      </c>
      <c r="N346" s="108">
        <f t="shared" si="654"/>
        <v>1.7585931254995968E-2</v>
      </c>
      <c r="O346" s="108">
        <f t="shared" si="654"/>
        <v>3.4626038781162549E-3</v>
      </c>
      <c r="P346" s="108">
        <f t="shared" si="654"/>
        <v>3.9375462989344356E-2</v>
      </c>
      <c r="Q346" s="108">
        <f t="shared" si="654"/>
        <v>2.3843930635838229E-2</v>
      </c>
      <c r="R346" s="108">
        <f t="shared" si="654"/>
        <v>1.6712580348944073E-2</v>
      </c>
      <c r="S346" s="108">
        <f t="shared" si="654"/>
        <v>2.5572831423896769E-3</v>
      </c>
      <c r="T346" s="108">
        <f t="shared" si="654"/>
        <v>2.6816690107829277E-2</v>
      </c>
      <c r="U346" s="108">
        <f t="shared" si="654"/>
        <v>6.4429894635715801E-3</v>
      </c>
      <c r="V346" s="108">
        <f t="shared" si="654"/>
        <v>1.9416346936402595E-2</v>
      </c>
      <c r="W346" s="108">
        <f t="shared" si="654"/>
        <v>-3.2880590596330306E-3</v>
      </c>
      <c r="X346" s="108">
        <f t="shared" si="654"/>
        <v>2.4685451447469031E-2</v>
      </c>
      <c r="Y346" s="108">
        <f t="shared" si="654"/>
        <v>2.3493244269015001E-3</v>
      </c>
      <c r="Z346" s="108">
        <f t="shared" si="654"/>
        <v>1.145895314689338E-2</v>
      </c>
      <c r="AA346" s="108">
        <f t="shared" si="654"/>
        <v>1.0524838619141441E-4</v>
      </c>
      <c r="AB346" s="108">
        <f t="shared" si="654"/>
        <v>1.7089932775382843E-2</v>
      </c>
      <c r="AC346" s="108">
        <f t="shared" si="654"/>
        <v>1.662246361850972E-3</v>
      </c>
      <c r="AD346" s="108">
        <f t="shared" si="654"/>
        <v>5.8881397413441672E-3</v>
      </c>
      <c r="AE346" s="108">
        <f t="shared" si="654"/>
        <v>-3.0902294473480474E-3</v>
      </c>
      <c r="AF346" s="108">
        <f t="shared" si="654"/>
        <v>8.2865718387055143E-3</v>
      </c>
      <c r="AG346" s="108">
        <f t="shared" si="654"/>
        <v>-7.5852971157882587E-3</v>
      </c>
      <c r="AH346" s="108">
        <f t="shared" si="654"/>
        <v>1.2622646512860936E-3</v>
      </c>
      <c r="AI346" s="108">
        <f t="shared" si="654"/>
        <v>-6.5446074570478796E-3</v>
      </c>
      <c r="AJ346" s="108">
        <f t="shared" si="654"/>
        <v>8.2694070536017961E-3</v>
      </c>
      <c r="AK346" s="108">
        <f t="shared" si="654"/>
        <v>-7.6758905590211812E-3</v>
      </c>
      <c r="AL346" s="108">
        <f t="shared" ref="AL346:BG346" si="658">+AL332/AK332-1</f>
        <v>1.514901442987826E-3</v>
      </c>
      <c r="AM346" s="108">
        <f t="shared" si="658"/>
        <v>-1.9631205673759089E-3</v>
      </c>
      <c r="AN346" s="108">
        <f t="shared" si="658"/>
        <v>1.0787133891214662E-3</v>
      </c>
      <c r="AO346" s="108">
        <f t="shared" si="658"/>
        <v>1.3570645649574331E-4</v>
      </c>
      <c r="AP346" s="108">
        <f t="shared" si="658"/>
        <v>1.4142999215388308E-2</v>
      </c>
      <c r="AQ346" s="108">
        <f t="shared" si="658"/>
        <v>6.2284357216471076E-3</v>
      </c>
      <c r="AR346" s="108">
        <f t="shared" si="658"/>
        <v>3.3573946617424522E-3</v>
      </c>
      <c r="AS346" s="108">
        <f t="shared" si="658"/>
        <v>3.6495467303310214E-4</v>
      </c>
      <c r="AT346" s="108">
        <f t="shared" si="658"/>
        <v>1.4350679101395869E-3</v>
      </c>
      <c r="AU346" s="108">
        <f t="shared" si="658"/>
        <v>-7.9922659035106536E-3</v>
      </c>
      <c r="AV346" s="108">
        <f t="shared" si="658"/>
        <v>4.3638369031524515E-3</v>
      </c>
      <c r="AW346" s="108">
        <f t="shared" si="658"/>
        <v>-3.5045105778582775E-3</v>
      </c>
      <c r="AX346" s="108">
        <f t="shared" si="658"/>
        <v>8.5936141262648036E-3</v>
      </c>
      <c r="AY346" s="108">
        <f t="shared" si="658"/>
        <v>-6.1076234709667165E-4</v>
      </c>
      <c r="AZ346" s="108">
        <f t="shared" si="658"/>
        <v>3.4133322529512622E-3</v>
      </c>
      <c r="BA346" s="108">
        <f t="shared" si="658"/>
        <v>1.0875133245249469E-3</v>
      </c>
      <c r="BB346" s="108">
        <f t="shared" si="658"/>
        <v>-1.401988898336981E-3</v>
      </c>
      <c r="BC346" s="108">
        <f t="shared" si="658"/>
        <v>-3.9865386277992965E-4</v>
      </c>
      <c r="BD346" s="108">
        <f t="shared" si="658"/>
        <v>1.4518973245972511E-2</v>
      </c>
      <c r="BE346" s="108">
        <f t="shared" si="658"/>
        <v>-3.9859398402586343E-3</v>
      </c>
      <c r="BF346" s="108">
        <f t="shared" si="658"/>
        <v>5.5028984108842494E-3</v>
      </c>
      <c r="BG346" s="108">
        <f t="shared" si="658"/>
        <v>5.3925785563990747E-3</v>
      </c>
      <c r="BH346" s="134" t="str">
        <f t="shared" si="656"/>
        <v>n/a</v>
      </c>
      <c r="BI346" s="134" t="str">
        <f t="shared" si="656"/>
        <v>n/a</v>
      </c>
      <c r="BJ346" s="134" t="str">
        <f t="shared" si="656"/>
        <v>n/a</v>
      </c>
      <c r="BK346" s="108"/>
      <c r="BL346" s="108"/>
      <c r="BM346" s="108"/>
      <c r="BN346" s="108"/>
      <c r="BO346" s="108"/>
      <c r="BP346" s="76"/>
      <c r="BQ346" s="76"/>
      <c r="BR346" s="76"/>
      <c r="BS346" s="76"/>
      <c r="BT346" s="76"/>
      <c r="BU346" s="76"/>
      <c r="BV346" s="76"/>
      <c r="BW346" s="76"/>
      <c r="BX346" s="76"/>
      <c r="BY346" s="76"/>
      <c r="BZ346" s="76"/>
      <c r="CA346" s="76"/>
      <c r="CB346" s="76"/>
      <c r="CC346" s="76"/>
      <c r="CD346" s="76"/>
    </row>
    <row r="347" spans="2:87" x14ac:dyDescent="0.2">
      <c r="B347" s="101" t="s">
        <v>263</v>
      </c>
      <c r="E347" s="106">
        <f t="shared" si="654"/>
        <v>-1.5639961698052929E-2</v>
      </c>
      <c r="F347" s="106">
        <f t="shared" si="654"/>
        <v>-8.7725504067914795E-4</v>
      </c>
      <c r="G347" s="106">
        <f t="shared" si="654"/>
        <v>9.576522363930362E-3</v>
      </c>
      <c r="H347" s="106">
        <f t="shared" si="654"/>
        <v>1.566773094073759E-2</v>
      </c>
      <c r="I347" s="106">
        <f t="shared" si="654"/>
        <v>3.4388932599003441E-2</v>
      </c>
      <c r="J347" s="106">
        <f t="shared" si="654"/>
        <v>1.0989208633093606E-2</v>
      </c>
      <c r="K347" s="106">
        <f t="shared" si="654"/>
        <v>6.0854815946553842E-4</v>
      </c>
      <c r="L347" s="106">
        <f t="shared" si="654"/>
        <v>2.1340447581821742E-2</v>
      </c>
      <c r="M347" s="106">
        <f t="shared" si="654"/>
        <v>-9.9098202376922684E-3</v>
      </c>
      <c r="N347" s="106">
        <f t="shared" si="654"/>
        <v>5.0569923578429599E-3</v>
      </c>
      <c r="O347" s="106">
        <f t="shared" si="654"/>
        <v>7.3912198912198246E-3</v>
      </c>
      <c r="P347" s="106">
        <f t="shared" si="654"/>
        <v>2.3703314965450861E-2</v>
      </c>
      <c r="Q347" s="106">
        <f t="shared" si="654"/>
        <v>1.1619958988380086E-2</v>
      </c>
      <c r="R347" s="106">
        <f t="shared" si="654"/>
        <v>1.164844407064769E-2</v>
      </c>
      <c r="S347" s="106">
        <f t="shared" si="654"/>
        <v>7.5786795277270613E-3</v>
      </c>
      <c r="T347" s="106">
        <f t="shared" si="654"/>
        <v>1.7417142951671183E-2</v>
      </c>
      <c r="U347" s="106">
        <f t="shared" si="654"/>
        <v>2.6944786855942482E-3</v>
      </c>
      <c r="V347" s="106">
        <f t="shared" si="654"/>
        <v>1.5940891619772968E-2</v>
      </c>
      <c r="W347" s="106">
        <f t="shared" si="654"/>
        <v>-2.8362677370399325E-3</v>
      </c>
      <c r="X347" s="106">
        <f t="shared" si="654"/>
        <v>1.7383371410303328E-2</v>
      </c>
      <c r="Y347" s="106">
        <f t="shared" si="654"/>
        <v>1.7782366775653813E-4</v>
      </c>
      <c r="Z347" s="106">
        <f t="shared" si="654"/>
        <v>4.2525876594721179E-3</v>
      </c>
      <c r="AA347" s="106">
        <f t="shared" si="654"/>
        <v>-9.7460417227868135E-4</v>
      </c>
      <c r="AB347" s="106">
        <f t="shared" si="654"/>
        <v>1.1072774105380212E-2</v>
      </c>
      <c r="AC347" s="106">
        <f t="shared" si="654"/>
        <v>-1.9720483580543124E-4</v>
      </c>
      <c r="AD347" s="106">
        <f t="shared" si="654"/>
        <v>1.3454142804414371E-3</v>
      </c>
      <c r="AE347" s="106">
        <f t="shared" si="654"/>
        <v>-4.1017245949714898E-4</v>
      </c>
      <c r="AF347" s="106">
        <f t="shared" si="654"/>
        <v>5.6540115675514091E-3</v>
      </c>
      <c r="AG347" s="106">
        <f t="shared" si="654"/>
        <v>-3.3264691905591226E-3</v>
      </c>
      <c r="AH347" s="106">
        <f t="shared" si="654"/>
        <v>-1.1880011880012198E-3</v>
      </c>
      <c r="AI347" s="106">
        <f t="shared" si="654"/>
        <v>-3.2961690275478128E-3</v>
      </c>
      <c r="AJ347" s="106">
        <f t="shared" si="654"/>
        <v>2.7059126385136079E-3</v>
      </c>
      <c r="AK347" s="106">
        <f t="shared" si="654"/>
        <v>-2.0852216173535831E-3</v>
      </c>
      <c r="AL347" s="106">
        <f t="shared" ref="AL347:BG347" si="659">+AL333/AK333-1</f>
        <v>-4.7137462303503685E-4</v>
      </c>
      <c r="AM347" s="106">
        <f t="shared" si="659"/>
        <v>-2.5590869224021429E-3</v>
      </c>
      <c r="AN347" s="106">
        <f t="shared" si="659"/>
        <v>1.434790009970488E-3</v>
      </c>
      <c r="AO347" s="106">
        <f t="shared" si="659"/>
        <v>1.1669019919002821E-5</v>
      </c>
      <c r="AP347" s="106">
        <f t="shared" si="659"/>
        <v>8.0685685527290829E-3</v>
      </c>
      <c r="AQ347" s="106">
        <f t="shared" si="659"/>
        <v>1.3230910981039123E-3</v>
      </c>
      <c r="AR347" s="106">
        <f t="shared" si="659"/>
        <v>3.8549364261235564E-3</v>
      </c>
      <c r="AS347" s="106">
        <f t="shared" si="659"/>
        <v>-7.570806100217875E-3</v>
      </c>
      <c r="AT347" s="106">
        <f t="shared" si="659"/>
        <v>5.2751027418267427E-3</v>
      </c>
      <c r="AU347" s="106">
        <f t="shared" si="659"/>
        <v>-7.467992006026658E-3</v>
      </c>
      <c r="AV347" s="106">
        <f t="shared" si="659"/>
        <v>-2.2750164388041227E-3</v>
      </c>
      <c r="AW347" s="106">
        <f t="shared" si="659"/>
        <v>1.4172102434433231E-3</v>
      </c>
      <c r="AX347" s="106">
        <f t="shared" si="659"/>
        <v>6.4918580357740119E-3</v>
      </c>
      <c r="AY347" s="106">
        <f t="shared" si="659"/>
        <v>-1.3787836968831568E-3</v>
      </c>
      <c r="AZ347" s="106">
        <f t="shared" si="659"/>
        <v>7.5937696222720952E-3</v>
      </c>
      <c r="BA347" s="106">
        <f t="shared" si="659"/>
        <v>4.0837161817253165E-3</v>
      </c>
      <c r="BB347" s="106">
        <f t="shared" si="659"/>
        <v>6.3372325824517795E-4</v>
      </c>
      <c r="BC347" s="106">
        <f t="shared" si="659"/>
        <v>6.1909496577863266E-3</v>
      </c>
      <c r="BD347" s="106">
        <f t="shared" si="659"/>
        <v>9.6434782608694203E-3</v>
      </c>
      <c r="BE347" s="106">
        <f t="shared" si="659"/>
        <v>3.62922890227102E-4</v>
      </c>
      <c r="BF347" s="106">
        <f t="shared" si="659"/>
        <v>3.3933246878863343E-3</v>
      </c>
      <c r="BG347" s="106">
        <f t="shared" si="659"/>
        <v>6.7075866223824665E-3</v>
      </c>
      <c r="BH347" s="164" t="str">
        <f t="shared" si="656"/>
        <v>n/a</v>
      </c>
      <c r="BI347" s="164" t="str">
        <f t="shared" si="656"/>
        <v>n/a</v>
      </c>
      <c r="BJ347" s="164" t="str">
        <f t="shared" si="656"/>
        <v>n/a</v>
      </c>
      <c r="BK347" s="106"/>
      <c r="BL347" s="106"/>
      <c r="BM347" s="106"/>
      <c r="BN347" s="106"/>
      <c r="BO347" s="106"/>
      <c r="BP347" s="76"/>
      <c r="BQ347" s="76"/>
      <c r="BR347" s="76"/>
      <c r="BS347" s="76"/>
      <c r="BT347" s="76"/>
      <c r="BU347" s="76"/>
      <c r="BV347" s="76"/>
      <c r="BW347" s="76"/>
      <c r="BX347" s="76"/>
      <c r="BY347" s="76"/>
      <c r="BZ347" s="76"/>
      <c r="CA347" s="76"/>
      <c r="CB347" s="76"/>
      <c r="CC347" s="76"/>
      <c r="CD347" s="76"/>
    </row>
    <row r="348" spans="2:87" x14ac:dyDescent="0.2">
      <c r="B348" s="101"/>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c r="AD348" s="106"/>
      <c r="AE348" s="106"/>
      <c r="AF348" s="106"/>
      <c r="AG348" s="106"/>
      <c r="AH348" s="106"/>
      <c r="AI348" s="106"/>
      <c r="AJ348" s="106"/>
      <c r="AK348" s="106"/>
      <c r="AL348" s="106"/>
      <c r="AM348" s="106"/>
      <c r="AN348" s="106"/>
      <c r="AO348" s="106"/>
      <c r="AP348" s="106"/>
      <c r="AQ348" s="106"/>
      <c r="AR348" s="106"/>
      <c r="AS348" s="106"/>
      <c r="AT348" s="106"/>
      <c r="AU348" s="106"/>
      <c r="AV348" s="106"/>
      <c r="AW348" s="106"/>
      <c r="AX348" s="57"/>
      <c r="AY348" s="57"/>
      <c r="AZ348" s="57"/>
      <c r="BA348" s="57"/>
      <c r="BB348" s="57"/>
      <c r="BC348" s="57"/>
      <c r="BD348" s="57"/>
      <c r="BE348" s="57"/>
      <c r="BF348" s="57"/>
      <c r="BG348" s="57"/>
      <c r="BH348" s="57"/>
      <c r="BI348" s="57"/>
      <c r="BJ348" s="57"/>
      <c r="BK348" s="57"/>
      <c r="BL348" s="57"/>
      <c r="BM348" s="57"/>
      <c r="BN348" s="57"/>
      <c r="BO348" s="57"/>
      <c r="BP348" s="76"/>
      <c r="BQ348" s="76"/>
      <c r="BR348" s="76"/>
      <c r="BS348" s="76"/>
      <c r="BT348" s="76"/>
      <c r="BU348" s="76"/>
      <c r="BV348" s="76"/>
      <c r="BW348" s="76"/>
      <c r="BX348" s="76"/>
      <c r="BY348" s="76"/>
      <c r="BZ348" s="76"/>
      <c r="CA348" s="76"/>
      <c r="CB348" s="76"/>
      <c r="CC348" s="76"/>
      <c r="CD348" s="76"/>
    </row>
    <row r="349" spans="2:87" x14ac:dyDescent="0.2">
      <c r="B349" s="54" t="s">
        <v>469</v>
      </c>
      <c r="E349" s="57"/>
      <c r="F349" s="57"/>
      <c r="G349" s="57"/>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c r="AD349" s="106"/>
      <c r="AE349" s="106"/>
      <c r="AF349" s="106"/>
      <c r="AG349" s="106"/>
      <c r="AH349" s="106"/>
      <c r="AI349" s="106"/>
      <c r="AJ349" s="106"/>
      <c r="AK349" s="106"/>
      <c r="AL349" s="106"/>
      <c r="AM349" s="106"/>
      <c r="AN349" s="106"/>
      <c r="AO349" s="106"/>
      <c r="AP349" s="106"/>
      <c r="AQ349" s="106"/>
      <c r="AR349" s="106"/>
      <c r="AS349" s="106"/>
      <c r="AT349" s="106"/>
      <c r="AU349" s="106"/>
      <c r="AV349" s="106"/>
      <c r="AW349" s="106"/>
      <c r="AX349" s="106"/>
      <c r="AY349" s="106"/>
      <c r="AZ349" s="106"/>
      <c r="BA349" s="106"/>
      <c r="BB349" s="106"/>
      <c r="BC349" s="106"/>
      <c r="BD349" s="106"/>
      <c r="BE349" s="106"/>
      <c r="BF349" s="106"/>
      <c r="BG349" s="106"/>
      <c r="BH349" s="106"/>
      <c r="BI349" s="106"/>
      <c r="BJ349" s="106"/>
      <c r="BK349" s="106"/>
      <c r="BL349" s="106"/>
      <c r="BM349" s="106"/>
      <c r="BN349" s="106"/>
      <c r="BO349" s="106"/>
      <c r="BP349" s="106"/>
      <c r="BQ349" s="106"/>
      <c r="BR349" s="106"/>
      <c r="BS349" s="106"/>
      <c r="BT349" s="106"/>
      <c r="BU349" s="106"/>
      <c r="BV349" s="106"/>
      <c r="BW349" s="106"/>
      <c r="BX349" s="106"/>
      <c r="BY349" s="106"/>
      <c r="BZ349" s="106"/>
      <c r="CA349" s="106"/>
      <c r="CB349" s="106"/>
      <c r="CC349" s="106"/>
      <c r="CD349" s="106"/>
      <c r="CE349" s="68"/>
      <c r="CF349" s="68"/>
      <c r="CG349" s="68"/>
      <c r="CH349" s="68"/>
      <c r="CI349" s="68"/>
    </row>
    <row r="350" spans="2:87" x14ac:dyDescent="0.2">
      <c r="B350" t="s">
        <v>267</v>
      </c>
      <c r="E350" s="57"/>
      <c r="F350" s="57"/>
      <c r="G350" s="57"/>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c r="AD350" s="106"/>
      <c r="AE350" s="106"/>
      <c r="AF350" s="106"/>
      <c r="AG350" s="106"/>
      <c r="AH350" s="106"/>
      <c r="AI350" s="106"/>
      <c r="AJ350" s="106"/>
      <c r="AK350" s="106"/>
      <c r="AL350" s="106"/>
      <c r="AM350" s="128">
        <v>2.0299999999999998</v>
      </c>
      <c r="AN350" s="128">
        <v>2.1</v>
      </c>
      <c r="AO350" s="128">
        <v>2.14</v>
      </c>
      <c r="AP350" s="128">
        <v>2.2000000000000002</v>
      </c>
      <c r="AQ350" s="128">
        <v>2.2599999999999998</v>
      </c>
      <c r="AR350" s="128">
        <v>2.36</v>
      </c>
      <c r="AS350" s="128">
        <v>2.4700000000000002</v>
      </c>
      <c r="AT350" s="128">
        <v>2.54</v>
      </c>
      <c r="AU350" s="128">
        <v>2.6</v>
      </c>
      <c r="AV350" s="128">
        <v>2.72</v>
      </c>
      <c r="AW350" s="128">
        <v>2.76</v>
      </c>
      <c r="AX350" s="128">
        <v>2.81</v>
      </c>
      <c r="AY350" s="128">
        <v>2.82</v>
      </c>
      <c r="AZ350" s="128">
        <v>2.87</v>
      </c>
      <c r="BA350" s="128">
        <v>2.88</v>
      </c>
      <c r="BB350" s="128">
        <v>2.93</v>
      </c>
      <c r="BC350" s="128">
        <v>2.96</v>
      </c>
      <c r="BD350" s="128">
        <v>3.02</v>
      </c>
      <c r="BE350" s="128">
        <v>3.07</v>
      </c>
      <c r="BF350" s="128">
        <v>3.14</v>
      </c>
      <c r="BG350" s="128">
        <v>3.19</v>
      </c>
      <c r="BH350" s="128">
        <v>3.24</v>
      </c>
      <c r="BI350" s="128">
        <v>3.27</v>
      </c>
      <c r="BJ350" s="128">
        <v>3.29</v>
      </c>
      <c r="BK350" s="128"/>
      <c r="BL350" s="128"/>
      <c r="BM350" s="128"/>
      <c r="BN350" s="128"/>
      <c r="BO350" s="128"/>
      <c r="BP350" s="106"/>
      <c r="BQ350" s="106"/>
      <c r="BR350" s="106"/>
      <c r="BS350" s="106"/>
      <c r="BT350" s="106"/>
      <c r="BU350" s="106"/>
      <c r="BV350" s="106"/>
      <c r="BW350" s="106"/>
      <c r="BX350" s="106"/>
      <c r="BY350" s="106"/>
      <c r="BZ350" s="106"/>
      <c r="CA350" s="106"/>
      <c r="CB350" s="96">
        <f>+AM350</f>
        <v>2.0299999999999998</v>
      </c>
      <c r="CC350" s="96">
        <f>+AQ350</f>
        <v>2.2599999999999998</v>
      </c>
      <c r="CD350" s="96">
        <f>+AU350</f>
        <v>2.6</v>
      </c>
      <c r="CE350" s="96">
        <f>+AY350</f>
        <v>2.82</v>
      </c>
      <c r="CF350" s="96">
        <f>+BC350</f>
        <v>2.96</v>
      </c>
      <c r="CG350" s="96">
        <f>+BG350</f>
        <v>3.19</v>
      </c>
      <c r="CH350" s="96"/>
      <c r="CI350" s="96"/>
    </row>
    <row r="351" spans="2:87" x14ac:dyDescent="0.2">
      <c r="B351" t="s">
        <v>268</v>
      </c>
      <c r="E351" s="57"/>
      <c r="F351" s="57"/>
      <c r="G351" s="57"/>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c r="AE351" s="106"/>
      <c r="AF351" s="106"/>
      <c r="AG351" s="106"/>
      <c r="AH351" s="106"/>
      <c r="AI351" s="106"/>
      <c r="AJ351" s="106"/>
      <c r="AK351" s="106"/>
      <c r="AL351" s="106"/>
      <c r="AM351" s="128">
        <v>2.64</v>
      </c>
      <c r="AN351" s="128">
        <v>2.69</v>
      </c>
      <c r="AO351" s="128">
        <v>2.76</v>
      </c>
      <c r="AP351" s="128">
        <v>2.82</v>
      </c>
      <c r="AQ351" s="128">
        <v>2.89</v>
      </c>
      <c r="AR351" s="128">
        <v>2.99</v>
      </c>
      <c r="AS351" s="128">
        <v>3.14</v>
      </c>
      <c r="AT351" s="128">
        <v>3.21</v>
      </c>
      <c r="AU351" s="128">
        <v>3.3</v>
      </c>
      <c r="AV351" s="128">
        <v>3.45</v>
      </c>
      <c r="AW351" s="128">
        <v>3.51</v>
      </c>
      <c r="AX351" s="128">
        <v>3.58</v>
      </c>
      <c r="AY351" s="128">
        <v>3.59</v>
      </c>
      <c r="AZ351" s="128">
        <v>3.64</v>
      </c>
      <c r="BA351" s="128">
        <v>3.65</v>
      </c>
      <c r="BB351" s="128">
        <v>3.71</v>
      </c>
      <c r="BC351" s="128">
        <v>3.74</v>
      </c>
      <c r="BD351" s="128">
        <v>3.81</v>
      </c>
      <c r="BE351" s="128">
        <v>3.88</v>
      </c>
      <c r="BF351" s="128">
        <v>3.96</v>
      </c>
      <c r="BG351" s="128">
        <v>3.98</v>
      </c>
      <c r="BH351" s="216" t="s">
        <v>127</v>
      </c>
      <c r="BI351" s="216" t="s">
        <v>127</v>
      </c>
      <c r="BJ351" s="216" t="s">
        <v>127</v>
      </c>
      <c r="BK351" s="128"/>
      <c r="BL351" s="128"/>
      <c r="BM351" s="128"/>
      <c r="BN351" s="128"/>
      <c r="BO351" s="128"/>
      <c r="BP351" s="106"/>
      <c r="BQ351" s="106"/>
      <c r="BR351" s="106"/>
      <c r="BS351" s="106"/>
      <c r="BT351" s="106"/>
      <c r="BU351" s="106"/>
      <c r="BV351" s="106"/>
      <c r="BW351" s="106"/>
      <c r="BX351" s="106"/>
      <c r="BY351" s="106"/>
      <c r="BZ351" s="106"/>
      <c r="CA351" s="106"/>
      <c r="CB351" s="96">
        <f>+AM351</f>
        <v>2.64</v>
      </c>
      <c r="CC351" s="96">
        <f>+AQ351</f>
        <v>2.89</v>
      </c>
      <c r="CD351" s="96">
        <f>+AU351</f>
        <v>3.3</v>
      </c>
      <c r="CE351" s="96">
        <f>+AY351</f>
        <v>3.59</v>
      </c>
      <c r="CF351" s="96">
        <f>+BC351</f>
        <v>3.74</v>
      </c>
      <c r="CG351" s="96">
        <f>+BG351</f>
        <v>3.98</v>
      </c>
      <c r="CH351" s="96"/>
      <c r="CI351" s="96"/>
    </row>
    <row r="352" spans="2:87" x14ac:dyDescent="0.2">
      <c r="B352" t="s">
        <v>266</v>
      </c>
      <c r="E352" s="57"/>
      <c r="F352" s="57"/>
      <c r="G352" s="57"/>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c r="AD352" s="106"/>
      <c r="AE352" s="106"/>
      <c r="AF352" s="106"/>
      <c r="AG352" s="106"/>
      <c r="AH352" s="106"/>
      <c r="AI352" s="106"/>
      <c r="AJ352" s="106"/>
      <c r="AK352" s="106"/>
      <c r="AL352" s="106"/>
      <c r="AM352" s="107">
        <f>+AM350/AM351</f>
        <v>0.76893939393939381</v>
      </c>
      <c r="AN352" s="107">
        <f>+AN350/AN351</f>
        <v>0.78066914498141271</v>
      </c>
      <c r="AO352" s="107">
        <f>+AO350/AO351</f>
        <v>0.77536231884057982</v>
      </c>
      <c r="AP352" s="107">
        <f t="shared" ref="AP352:AW352" si="660">+AP350/AP351</f>
        <v>0.78014184397163133</v>
      </c>
      <c r="AQ352" s="107">
        <f t="shared" si="660"/>
        <v>0.78200692041522479</v>
      </c>
      <c r="AR352" s="107">
        <f t="shared" si="660"/>
        <v>0.78929765886287617</v>
      </c>
      <c r="AS352" s="107">
        <f t="shared" si="660"/>
        <v>0.7866242038216561</v>
      </c>
      <c r="AT352" s="107">
        <f t="shared" si="660"/>
        <v>0.79127725856697817</v>
      </c>
      <c r="AU352" s="107">
        <f t="shared" si="660"/>
        <v>0.78787878787878796</v>
      </c>
      <c r="AV352" s="107">
        <f t="shared" si="660"/>
        <v>0.78840579710144931</v>
      </c>
      <c r="AW352" s="107">
        <f t="shared" si="660"/>
        <v>0.78632478632478631</v>
      </c>
      <c r="AX352" s="107">
        <f t="shared" ref="AX352:BG352" si="661">+AX350/AX351</f>
        <v>0.78491620111731841</v>
      </c>
      <c r="AY352" s="107">
        <f t="shared" si="661"/>
        <v>0.78551532033426186</v>
      </c>
      <c r="AZ352" s="107">
        <f t="shared" si="661"/>
        <v>0.78846153846153844</v>
      </c>
      <c r="BA352" s="107">
        <f t="shared" si="661"/>
        <v>0.78904109589041094</v>
      </c>
      <c r="BB352" s="107">
        <f t="shared" si="661"/>
        <v>0.78975741239892183</v>
      </c>
      <c r="BC352" s="107">
        <f t="shared" si="661"/>
        <v>0.79144385026737962</v>
      </c>
      <c r="BD352" s="107">
        <f t="shared" si="661"/>
        <v>0.79265091863517056</v>
      </c>
      <c r="BE352" s="107">
        <f t="shared" si="661"/>
        <v>0.79123711340206182</v>
      </c>
      <c r="BF352" s="107">
        <f t="shared" si="661"/>
        <v>0.79292929292929293</v>
      </c>
      <c r="BG352" s="107">
        <f t="shared" si="661"/>
        <v>0.80150753768844218</v>
      </c>
      <c r="BH352" s="171" t="str">
        <f>IFERROR(BH350/BH351,"n/a")</f>
        <v>n/a</v>
      </c>
      <c r="BI352" s="171" t="str">
        <f>IFERROR(BI350/BI351,"n/a")</f>
        <v>n/a</v>
      </c>
      <c r="BJ352" s="171" t="str">
        <f>IFERROR(BJ350/BJ351,"n/a")</f>
        <v>n/a</v>
      </c>
      <c r="BK352" s="107"/>
      <c r="BL352" s="107"/>
      <c r="BM352" s="107"/>
      <c r="BN352" s="107"/>
      <c r="BO352" s="107"/>
      <c r="BP352" s="106"/>
      <c r="BQ352" s="106"/>
      <c r="BR352" s="106"/>
      <c r="BS352" s="106"/>
      <c r="BT352" s="106"/>
      <c r="BU352" s="106"/>
      <c r="BV352" s="106"/>
      <c r="BW352" s="106"/>
      <c r="BX352" s="106"/>
      <c r="BY352" s="106"/>
      <c r="BZ352" s="106"/>
      <c r="CA352" s="106"/>
      <c r="CB352" s="107">
        <f>+AM352</f>
        <v>0.76893939393939381</v>
      </c>
      <c r="CC352" s="107">
        <f>+AQ352</f>
        <v>0.78200692041522479</v>
      </c>
      <c r="CD352" s="107">
        <f>+AU352</f>
        <v>0.78787878787878796</v>
      </c>
      <c r="CE352" s="107">
        <f>+AV352</f>
        <v>0.78840579710144931</v>
      </c>
      <c r="CF352" s="107">
        <f>+AZ352</f>
        <v>0.78846153846153844</v>
      </c>
      <c r="CG352" s="107">
        <f>+BA352</f>
        <v>0.78904109589041094</v>
      </c>
      <c r="CH352" s="107"/>
      <c r="CI352" s="107"/>
    </row>
    <row r="353" spans="2:87" x14ac:dyDescent="0.2">
      <c r="B353" s="101"/>
      <c r="E353" s="57"/>
      <c r="F353" s="57"/>
      <c r="G353" s="57"/>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c r="AE353" s="106"/>
      <c r="AF353" s="106"/>
      <c r="AG353" s="106"/>
      <c r="AH353" s="106"/>
      <c r="AI353" s="106"/>
      <c r="AJ353" s="106"/>
      <c r="AK353" s="106"/>
      <c r="AL353" s="106"/>
      <c r="AM353" s="106"/>
      <c r="AN353" s="106"/>
      <c r="AO353" s="106"/>
      <c r="AP353" s="106"/>
      <c r="AQ353" s="106"/>
      <c r="AR353" s="106"/>
      <c r="AS353" s="106"/>
      <c r="AT353" s="106"/>
      <c r="AU353" s="106"/>
      <c r="AV353" s="106"/>
      <c r="AW353" s="106"/>
      <c r="AX353" s="106"/>
      <c r="AY353" s="106"/>
      <c r="AZ353" s="106"/>
      <c r="BA353" s="106"/>
      <c r="BB353" s="106"/>
      <c r="BC353" s="106"/>
      <c r="BD353" s="106"/>
      <c r="BE353" s="106"/>
      <c r="BF353" s="106"/>
      <c r="BG353" s="106"/>
      <c r="BH353" s="106"/>
      <c r="BI353" s="106"/>
      <c r="BJ353" s="106"/>
      <c r="BK353" s="106"/>
      <c r="BL353" s="106"/>
      <c r="BM353" s="106"/>
      <c r="BN353" s="106"/>
      <c r="BO353" s="106"/>
      <c r="BP353" s="106"/>
      <c r="BQ353" s="106"/>
      <c r="BR353" s="106"/>
      <c r="BS353" s="106"/>
      <c r="BT353" s="106"/>
      <c r="BU353" s="106"/>
      <c r="BV353" s="106"/>
      <c r="BW353" s="106"/>
      <c r="BX353" s="106"/>
      <c r="BY353" s="106"/>
      <c r="BZ353" s="106"/>
      <c r="CA353" s="106"/>
      <c r="CB353" s="106"/>
      <c r="CC353" s="106"/>
      <c r="CD353" s="106"/>
      <c r="CE353" s="68"/>
      <c r="CF353" s="68"/>
      <c r="CG353" s="68"/>
      <c r="CH353" s="68"/>
      <c r="CI353" s="68"/>
    </row>
    <row r="354" spans="2:87" x14ac:dyDescent="0.2">
      <c r="B354" s="62" t="s">
        <v>17</v>
      </c>
      <c r="E354" s="57"/>
      <c r="F354" s="57"/>
      <c r="G354" s="57"/>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c r="AE354" s="106"/>
      <c r="AF354" s="106"/>
      <c r="AG354" s="106"/>
      <c r="AH354" s="106"/>
      <c r="AI354" s="106"/>
      <c r="AJ354" s="106"/>
      <c r="AK354" s="106"/>
      <c r="AL354" s="106"/>
      <c r="AM354" s="106"/>
      <c r="AN354" s="106"/>
      <c r="AO354" s="106"/>
      <c r="AP354" s="106"/>
      <c r="AQ354" s="106"/>
      <c r="AR354" s="106"/>
      <c r="AS354" s="106"/>
      <c r="AT354" s="106"/>
      <c r="AU354" s="106"/>
      <c r="AV354" s="106"/>
      <c r="AW354" s="106"/>
      <c r="AX354" s="106"/>
      <c r="AY354" s="106"/>
      <c r="AZ354" s="106"/>
      <c r="BA354" s="106"/>
      <c r="BB354" s="106"/>
      <c r="BC354" s="106"/>
      <c r="BD354" s="106"/>
      <c r="BE354" s="106"/>
      <c r="BF354" s="106"/>
      <c r="BG354" s="106"/>
      <c r="BH354" s="106"/>
      <c r="BI354" s="106"/>
      <c r="BJ354" s="106"/>
      <c r="BK354" s="106"/>
      <c r="BL354" s="106"/>
      <c r="BM354" s="106"/>
      <c r="BN354" s="106"/>
      <c r="BO354" s="106"/>
      <c r="BP354" s="106"/>
      <c r="BQ354" s="106"/>
      <c r="BR354" s="106"/>
      <c r="BS354" s="106"/>
      <c r="BT354" s="106"/>
      <c r="BU354" s="106"/>
      <c r="BV354" s="106"/>
      <c r="BW354" s="106"/>
      <c r="BX354" s="106"/>
      <c r="BY354" s="106"/>
      <c r="BZ354" s="106"/>
      <c r="CA354" s="106"/>
      <c r="CB354" s="106"/>
      <c r="CC354" s="106"/>
      <c r="CD354" s="106"/>
      <c r="CE354" s="68"/>
      <c r="CF354" s="68"/>
      <c r="CG354" s="68"/>
      <c r="CH354" s="68"/>
      <c r="CI354" s="68"/>
    </row>
    <row r="355" spans="2:87" x14ac:dyDescent="0.2">
      <c r="B355" s="60" t="s">
        <v>267</v>
      </c>
      <c r="E355" s="57"/>
      <c r="F355" s="57"/>
      <c r="G355" s="57"/>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c r="AD355" s="106"/>
      <c r="AE355" s="106"/>
      <c r="AF355" s="106"/>
      <c r="AG355" s="106"/>
      <c r="AH355" s="106"/>
      <c r="AI355" s="106"/>
      <c r="AJ355" s="106"/>
      <c r="AK355" s="106"/>
      <c r="AL355" s="106"/>
      <c r="AM355" s="106"/>
      <c r="AN355" s="106"/>
      <c r="AO355" s="106"/>
      <c r="AP355" s="106"/>
      <c r="AQ355" s="106">
        <f t="shared" ref="AQ355:BG355" si="662">+AQ350/AM350-1</f>
        <v>0.11330049261083741</v>
      </c>
      <c r="AR355" s="106">
        <f t="shared" si="662"/>
        <v>0.12380952380952381</v>
      </c>
      <c r="AS355" s="106">
        <f t="shared" si="662"/>
        <v>0.15420560747663559</v>
      </c>
      <c r="AT355" s="106">
        <f t="shared" si="662"/>
        <v>0.15454545454545454</v>
      </c>
      <c r="AU355" s="106">
        <f t="shared" si="662"/>
        <v>0.15044247787610643</v>
      </c>
      <c r="AV355" s="106">
        <f t="shared" si="662"/>
        <v>0.15254237288135597</v>
      </c>
      <c r="AW355" s="106">
        <f t="shared" si="662"/>
        <v>0.11740890688259098</v>
      </c>
      <c r="AX355" s="106">
        <f t="shared" si="662"/>
        <v>0.10629921259842523</v>
      </c>
      <c r="AY355" s="106">
        <f t="shared" si="662"/>
        <v>8.4615384615384537E-2</v>
      </c>
      <c r="AZ355" s="106">
        <f t="shared" si="662"/>
        <v>5.5147058823529438E-2</v>
      </c>
      <c r="BA355" s="106">
        <f t="shared" si="662"/>
        <v>4.3478260869565188E-2</v>
      </c>
      <c r="BB355" s="106">
        <f t="shared" si="662"/>
        <v>4.2704626334519658E-2</v>
      </c>
      <c r="BC355" s="106">
        <f t="shared" si="662"/>
        <v>4.9645390070921946E-2</v>
      </c>
      <c r="BD355" s="106">
        <f t="shared" si="662"/>
        <v>5.2264808362369353E-2</v>
      </c>
      <c r="BE355" s="106">
        <f t="shared" si="662"/>
        <v>6.5972222222222099E-2</v>
      </c>
      <c r="BF355" s="106">
        <f t="shared" si="662"/>
        <v>7.1672354948805417E-2</v>
      </c>
      <c r="BG355" s="106">
        <f t="shared" si="662"/>
        <v>7.7702702702702631E-2</v>
      </c>
      <c r="BH355" s="164">
        <f t="shared" ref="BH355:BJ357" si="663">+IFERROR(BH350/BD350-1,"n/a")</f>
        <v>7.2847682119205448E-2</v>
      </c>
      <c r="BI355" s="164">
        <f t="shared" si="663"/>
        <v>6.514657980456029E-2</v>
      </c>
      <c r="BJ355" s="164">
        <f t="shared" si="663"/>
        <v>4.7770700636942554E-2</v>
      </c>
      <c r="BK355" s="106"/>
      <c r="BL355" s="106"/>
      <c r="BM355" s="106"/>
      <c r="BN355" s="106"/>
      <c r="BO355" s="106"/>
      <c r="BP355" s="106"/>
      <c r="BQ355" s="106"/>
      <c r="BR355" s="106"/>
      <c r="BS355" s="106"/>
      <c r="BT355" s="106"/>
      <c r="BU355" s="106"/>
      <c r="BV355" s="106"/>
      <c r="BW355" s="106"/>
      <c r="BX355" s="106"/>
      <c r="BY355" s="106"/>
      <c r="BZ355" s="106"/>
      <c r="CA355" s="106"/>
      <c r="CB355" s="106"/>
      <c r="CC355" s="106">
        <f t="shared" ref="CC355:CG357" si="664">+CC350/CB350-1</f>
        <v>0.11330049261083741</v>
      </c>
      <c r="CD355" s="106">
        <f t="shared" si="664"/>
        <v>0.15044247787610643</v>
      </c>
      <c r="CE355" s="106">
        <f t="shared" si="664"/>
        <v>8.4615384615384537E-2</v>
      </c>
      <c r="CF355" s="106">
        <f t="shared" si="664"/>
        <v>4.9645390070921946E-2</v>
      </c>
      <c r="CG355" s="106">
        <f t="shared" si="664"/>
        <v>7.7702702702702631E-2</v>
      </c>
      <c r="CH355" s="106"/>
      <c r="CI355" s="106"/>
    </row>
    <row r="356" spans="2:87" x14ac:dyDescent="0.2">
      <c r="B356" s="60" t="s">
        <v>268</v>
      </c>
      <c r="E356" s="57"/>
      <c r="F356" s="57"/>
      <c r="G356" s="57"/>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c r="AE356" s="106"/>
      <c r="AF356" s="106"/>
      <c r="AG356" s="106"/>
      <c r="AH356" s="106"/>
      <c r="AI356" s="106"/>
      <c r="AJ356" s="106"/>
      <c r="AK356" s="106"/>
      <c r="AL356" s="106"/>
      <c r="AM356" s="106"/>
      <c r="AN356" s="106"/>
      <c r="AO356" s="106"/>
      <c r="AP356" s="106"/>
      <c r="AQ356" s="106">
        <f t="shared" ref="AQ356:AS357" si="665">+AQ351/AM351-1</f>
        <v>9.4696969696969724E-2</v>
      </c>
      <c r="AR356" s="106">
        <f t="shared" si="665"/>
        <v>0.11152416356877337</v>
      </c>
      <c r="AS356" s="106">
        <f t="shared" si="665"/>
        <v>0.13768115942029002</v>
      </c>
      <c r="AT356" s="106">
        <f t="shared" ref="AT356:BG357" si="666">+AT351/AP351-1</f>
        <v>0.13829787234042556</v>
      </c>
      <c r="AU356" s="106">
        <f t="shared" si="666"/>
        <v>0.1418685121107266</v>
      </c>
      <c r="AV356" s="106">
        <f t="shared" si="666"/>
        <v>0.15384615384615374</v>
      </c>
      <c r="AW356" s="106">
        <f t="shared" si="666"/>
        <v>0.11783439490445846</v>
      </c>
      <c r="AX356" s="106">
        <f t="shared" si="666"/>
        <v>0.11526479750778829</v>
      </c>
      <c r="AY356" s="106">
        <f t="shared" si="666"/>
        <v>8.787878787878789E-2</v>
      </c>
      <c r="AZ356" s="106">
        <f t="shared" si="666"/>
        <v>5.507246376811592E-2</v>
      </c>
      <c r="BA356" s="106">
        <f t="shared" si="666"/>
        <v>3.9886039886039892E-2</v>
      </c>
      <c r="BB356" s="106">
        <f t="shared" si="666"/>
        <v>3.6312849162011052E-2</v>
      </c>
      <c r="BC356" s="106">
        <f t="shared" si="666"/>
        <v>4.1782729805013963E-2</v>
      </c>
      <c r="BD356" s="106">
        <f t="shared" si="666"/>
        <v>4.6703296703296759E-2</v>
      </c>
      <c r="BE356" s="106">
        <f t="shared" si="666"/>
        <v>6.3013698630137061E-2</v>
      </c>
      <c r="BF356" s="106">
        <f t="shared" si="666"/>
        <v>6.7385444743935263E-2</v>
      </c>
      <c r="BG356" s="106">
        <f t="shared" si="666"/>
        <v>6.4171122994652441E-2</v>
      </c>
      <c r="BH356" s="164" t="str">
        <f t="shared" si="663"/>
        <v>n/a</v>
      </c>
      <c r="BI356" s="164" t="str">
        <f t="shared" si="663"/>
        <v>n/a</v>
      </c>
      <c r="BJ356" s="164" t="str">
        <f t="shared" si="663"/>
        <v>n/a</v>
      </c>
      <c r="BK356" s="106"/>
      <c r="BL356" s="106"/>
      <c r="BM356" s="106"/>
      <c r="BN356" s="106"/>
      <c r="BO356" s="106"/>
      <c r="BP356" s="106"/>
      <c r="BQ356" s="106"/>
      <c r="BR356" s="106"/>
      <c r="BS356" s="106"/>
      <c r="BT356" s="106"/>
      <c r="BU356" s="106"/>
      <c r="BV356" s="106"/>
      <c r="BW356" s="106"/>
      <c r="BX356" s="106"/>
      <c r="BY356" s="106"/>
      <c r="BZ356" s="106"/>
      <c r="CA356" s="106"/>
      <c r="CB356" s="106"/>
      <c r="CC356" s="106">
        <f t="shared" si="664"/>
        <v>9.4696969696969724E-2</v>
      </c>
      <c r="CD356" s="106">
        <f t="shared" si="664"/>
        <v>0.1418685121107266</v>
      </c>
      <c r="CE356" s="106">
        <f t="shared" si="664"/>
        <v>8.787878787878789E-2</v>
      </c>
      <c r="CF356" s="106">
        <f t="shared" si="664"/>
        <v>4.1782729805013963E-2</v>
      </c>
      <c r="CG356" s="106">
        <f t="shared" si="664"/>
        <v>6.4171122994652441E-2</v>
      </c>
      <c r="CH356" s="106"/>
      <c r="CI356" s="106"/>
    </row>
    <row r="357" spans="2:87" x14ac:dyDescent="0.2">
      <c r="B357" s="60" t="s">
        <v>266</v>
      </c>
      <c r="E357" s="57"/>
      <c r="F357" s="57"/>
      <c r="G357" s="57"/>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c r="AE357" s="106"/>
      <c r="AF357" s="106"/>
      <c r="AG357" s="106"/>
      <c r="AH357" s="106"/>
      <c r="AI357" s="106"/>
      <c r="AJ357" s="106"/>
      <c r="AK357" s="106"/>
      <c r="AL357" s="106"/>
      <c r="AM357" s="106"/>
      <c r="AN357" s="106"/>
      <c r="AO357" s="106"/>
      <c r="AP357" s="106"/>
      <c r="AQ357" s="106">
        <f t="shared" si="665"/>
        <v>1.6994221623740868E-2</v>
      </c>
      <c r="AR357" s="106">
        <f t="shared" si="665"/>
        <v>1.1052715400541313E-2</v>
      </c>
      <c r="AS357" s="106">
        <f t="shared" si="665"/>
        <v>1.4524674087743161E-2</v>
      </c>
      <c r="AT357" s="106">
        <f t="shared" si="666"/>
        <v>1.4273576890399209E-2</v>
      </c>
      <c r="AU357" s="106">
        <f t="shared" si="666"/>
        <v>7.508715473317551E-3</v>
      </c>
      <c r="AV357" s="106">
        <f t="shared" si="666"/>
        <v>-1.1299435028246929E-3</v>
      </c>
      <c r="AW357" s="106">
        <f t="shared" si="666"/>
        <v>-3.8063600816640175E-4</v>
      </c>
      <c r="AX357" s="106">
        <f t="shared" si="666"/>
        <v>-8.0389741785069635E-3</v>
      </c>
      <c r="AY357" s="106">
        <f t="shared" si="666"/>
        <v>-2.9997857295908092E-3</v>
      </c>
      <c r="AZ357" s="106">
        <f t="shared" si="666"/>
        <v>7.0701357465896564E-5</v>
      </c>
      <c r="BA357" s="106">
        <f t="shared" si="666"/>
        <v>3.4544371649791739E-3</v>
      </c>
      <c r="BB357" s="106">
        <f t="shared" si="666"/>
        <v>6.1678065438222074E-3</v>
      </c>
      <c r="BC357" s="106">
        <f t="shared" si="666"/>
        <v>7.5473129290399843E-3</v>
      </c>
      <c r="BD357" s="106">
        <f t="shared" si="666"/>
        <v>5.3133602202164454E-3</v>
      </c>
      <c r="BE357" s="106">
        <f t="shared" si="666"/>
        <v>2.7831471935853003E-3</v>
      </c>
      <c r="BF357" s="106">
        <f t="shared" si="666"/>
        <v>4.0162719343606046E-3</v>
      </c>
      <c r="BG357" s="106">
        <f t="shared" si="666"/>
        <v>1.2715605052288526E-2</v>
      </c>
      <c r="BH357" s="164" t="str">
        <f t="shared" si="663"/>
        <v>n/a</v>
      </c>
      <c r="BI357" s="164" t="str">
        <f t="shared" si="663"/>
        <v>n/a</v>
      </c>
      <c r="BJ357" s="164" t="str">
        <f t="shared" si="663"/>
        <v>n/a</v>
      </c>
      <c r="BK357" s="106"/>
      <c r="BL357" s="106"/>
      <c r="BM357" s="106"/>
      <c r="BN357" s="106"/>
      <c r="BO357" s="106"/>
      <c r="BP357" s="106"/>
      <c r="BQ357" s="106"/>
      <c r="BR357" s="106"/>
      <c r="BS357" s="106"/>
      <c r="BT357" s="106"/>
      <c r="BU357" s="106"/>
      <c r="BV357" s="106"/>
      <c r="BW357" s="106"/>
      <c r="BX357" s="106"/>
      <c r="BY357" s="106"/>
      <c r="BZ357" s="106"/>
      <c r="CA357" s="106"/>
      <c r="CB357" s="106"/>
      <c r="CC357" s="106">
        <f t="shared" si="664"/>
        <v>1.6994221623740868E-2</v>
      </c>
      <c r="CD357" s="106">
        <f t="shared" si="664"/>
        <v>7.508715473317551E-3</v>
      </c>
      <c r="CE357" s="106">
        <f t="shared" si="664"/>
        <v>6.6889632107014485E-4</v>
      </c>
      <c r="CF357" s="106">
        <f t="shared" si="664"/>
        <v>7.0701357465896564E-5</v>
      </c>
      <c r="CG357" s="106">
        <f t="shared" si="664"/>
        <v>7.350484463748419E-4</v>
      </c>
      <c r="CH357" s="106"/>
      <c r="CI357" s="106"/>
    </row>
    <row r="358" spans="2:87" x14ac:dyDescent="0.2">
      <c r="B358" s="101"/>
      <c r="E358" s="57"/>
      <c r="F358" s="57"/>
      <c r="G358" s="57"/>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c r="AD358" s="106"/>
      <c r="AE358" s="106"/>
      <c r="AF358" s="106"/>
      <c r="AG358" s="106"/>
      <c r="AH358" s="106"/>
      <c r="AI358" s="106"/>
      <c r="AJ358" s="106"/>
      <c r="AK358" s="106"/>
      <c r="AL358" s="106"/>
      <c r="AM358" s="106"/>
      <c r="AN358" s="106"/>
      <c r="AO358" s="106"/>
      <c r="AP358" s="106"/>
      <c r="AQ358" s="106"/>
      <c r="AR358" s="106"/>
      <c r="AS358" s="106"/>
      <c r="AT358" s="106"/>
      <c r="AU358" s="106"/>
      <c r="AV358" s="106"/>
      <c r="AW358" s="106"/>
      <c r="AX358" s="106"/>
      <c r="AY358" s="106"/>
      <c r="AZ358" s="106"/>
      <c r="BA358" s="106"/>
      <c r="BB358" s="106"/>
      <c r="BC358" s="106"/>
      <c r="BD358" s="106"/>
      <c r="BE358" s="106"/>
      <c r="BF358" s="106"/>
      <c r="BG358" s="106"/>
      <c r="BH358" s="106"/>
      <c r="BI358" s="106"/>
      <c r="BJ358" s="106"/>
      <c r="BK358" s="106"/>
      <c r="BL358" s="106"/>
      <c r="BM358" s="106"/>
      <c r="BN358" s="106"/>
      <c r="BO358" s="106"/>
      <c r="BP358" s="106"/>
      <c r="BQ358" s="106"/>
      <c r="BR358" s="106"/>
      <c r="BS358" s="106"/>
      <c r="BT358" s="106"/>
      <c r="BU358" s="106"/>
      <c r="BV358" s="106"/>
      <c r="BW358" s="106"/>
      <c r="BX358" s="106"/>
      <c r="BY358" s="106"/>
      <c r="BZ358" s="106"/>
      <c r="CA358" s="106"/>
      <c r="CB358" s="106"/>
      <c r="CC358" s="106"/>
      <c r="CD358" s="106"/>
      <c r="CE358" s="68"/>
      <c r="CF358" s="68"/>
      <c r="CG358" s="68"/>
      <c r="CH358" s="68"/>
      <c r="CI358" s="68"/>
    </row>
    <row r="359" spans="2:87" x14ac:dyDescent="0.2">
      <c r="B359" s="62" t="s">
        <v>257</v>
      </c>
      <c r="E359" s="57"/>
      <c r="F359" s="57"/>
      <c r="G359" s="57"/>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c r="AE359" s="106"/>
      <c r="AF359" s="106"/>
      <c r="AG359" s="106"/>
      <c r="AH359" s="106"/>
      <c r="AI359" s="106"/>
      <c r="AJ359" s="106"/>
      <c r="AK359" s="106"/>
      <c r="AL359" s="106"/>
      <c r="AM359" s="106"/>
      <c r="AN359" s="106"/>
      <c r="AO359" s="106"/>
      <c r="AP359" s="106"/>
      <c r="AQ359" s="106"/>
      <c r="AR359" s="106"/>
      <c r="AS359" s="106"/>
      <c r="AT359" s="106"/>
      <c r="AU359" s="106"/>
      <c r="AV359" s="106"/>
      <c r="AW359" s="106"/>
      <c r="AX359" s="106"/>
      <c r="AY359" s="106"/>
      <c r="AZ359" s="106"/>
      <c r="BA359" s="106"/>
      <c r="BB359" s="106"/>
      <c r="BC359" s="106"/>
      <c r="BD359" s="106"/>
      <c r="BE359" s="106"/>
      <c r="BF359" s="106"/>
      <c r="BG359" s="106"/>
      <c r="BH359" s="106"/>
      <c r="BI359" s="106"/>
      <c r="BJ359" s="106"/>
      <c r="BK359" s="106"/>
      <c r="BL359" s="106"/>
      <c r="BM359" s="106"/>
      <c r="BN359" s="106"/>
      <c r="BO359" s="106"/>
      <c r="BP359" s="106"/>
      <c r="BQ359" s="106"/>
      <c r="BR359" s="106"/>
      <c r="BS359" s="106"/>
      <c r="BT359" s="106"/>
      <c r="BU359" s="106"/>
      <c r="BV359" s="106"/>
      <c r="BW359" s="106"/>
      <c r="BX359" s="106"/>
      <c r="BY359" s="106"/>
      <c r="BZ359" s="106"/>
      <c r="CA359" s="106"/>
      <c r="CB359" s="106"/>
      <c r="CC359" s="106"/>
      <c r="CD359" s="106"/>
      <c r="CE359" s="68"/>
      <c r="CF359" s="68"/>
      <c r="CG359" s="68"/>
      <c r="CH359" s="68"/>
      <c r="CI359" s="68"/>
    </row>
    <row r="360" spans="2:87" x14ac:dyDescent="0.2">
      <c r="B360" s="60" t="s">
        <v>267</v>
      </c>
      <c r="E360" s="57"/>
      <c r="F360" s="57"/>
      <c r="G360" s="57"/>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c r="AD360" s="106"/>
      <c r="AE360" s="106"/>
      <c r="AF360" s="106"/>
      <c r="AG360" s="106"/>
      <c r="AH360" s="106"/>
      <c r="AI360" s="106"/>
      <c r="AJ360" s="106"/>
      <c r="AK360" s="106"/>
      <c r="AL360" s="106"/>
      <c r="AM360" s="106"/>
      <c r="AN360" s="106">
        <f t="shared" ref="AN360:AP362" si="667">+AN350/AM350-1</f>
        <v>3.4482758620689724E-2</v>
      </c>
      <c r="AO360" s="106">
        <f t="shared" si="667"/>
        <v>1.904761904761898E-2</v>
      </c>
      <c r="AP360" s="106">
        <f t="shared" si="667"/>
        <v>2.8037383177570208E-2</v>
      </c>
      <c r="AQ360" s="106">
        <f t="shared" ref="AQ360:BG360" si="668">+AQ350/AP350-1</f>
        <v>2.7272727272727115E-2</v>
      </c>
      <c r="AR360" s="106">
        <f t="shared" si="668"/>
        <v>4.4247787610619538E-2</v>
      </c>
      <c r="AS360" s="106">
        <f t="shared" si="668"/>
        <v>4.6610169491525522E-2</v>
      </c>
      <c r="AT360" s="106">
        <f t="shared" si="668"/>
        <v>2.8340080971659853E-2</v>
      </c>
      <c r="AU360" s="106">
        <f t="shared" si="668"/>
        <v>2.3622047244094446E-2</v>
      </c>
      <c r="AV360" s="106">
        <f t="shared" si="668"/>
        <v>4.6153846153846212E-2</v>
      </c>
      <c r="AW360" s="106">
        <f t="shared" si="668"/>
        <v>1.4705882352941124E-2</v>
      </c>
      <c r="AX360" s="106">
        <f t="shared" si="668"/>
        <v>1.8115942028985588E-2</v>
      </c>
      <c r="AY360" s="106">
        <f t="shared" si="668"/>
        <v>3.5587188612098419E-3</v>
      </c>
      <c r="AZ360" s="106">
        <f t="shared" si="668"/>
        <v>1.7730496453900901E-2</v>
      </c>
      <c r="BA360" s="106">
        <f t="shared" si="668"/>
        <v>3.4843205574912606E-3</v>
      </c>
      <c r="BB360" s="106">
        <f t="shared" si="668"/>
        <v>1.736111111111116E-2</v>
      </c>
      <c r="BC360" s="106">
        <f t="shared" si="668"/>
        <v>1.0238907849829282E-2</v>
      </c>
      <c r="BD360" s="106">
        <f t="shared" si="668"/>
        <v>2.0270270270270396E-2</v>
      </c>
      <c r="BE360" s="106">
        <f t="shared" si="668"/>
        <v>1.655629139072845E-2</v>
      </c>
      <c r="BF360" s="106">
        <f t="shared" si="668"/>
        <v>2.2801302931596101E-2</v>
      </c>
      <c r="BG360" s="106">
        <f t="shared" si="668"/>
        <v>1.5923566878980777E-2</v>
      </c>
      <c r="BH360" s="164">
        <f t="shared" ref="BH360:BJ362" si="669">+IFERROR(BH350/BG350-1,"n/a")</f>
        <v>1.5673981191222763E-2</v>
      </c>
      <c r="BI360" s="164">
        <f t="shared" si="669"/>
        <v>9.2592592592593004E-3</v>
      </c>
      <c r="BJ360" s="164">
        <f t="shared" si="669"/>
        <v>6.1162079510703737E-3</v>
      </c>
      <c r="BK360" s="106"/>
      <c r="BL360" s="106"/>
      <c r="BM360" s="106"/>
      <c r="BN360" s="106"/>
      <c r="BO360" s="106"/>
      <c r="BP360" s="106"/>
      <c r="BQ360" s="106"/>
      <c r="BR360" s="106"/>
      <c r="BS360" s="106"/>
      <c r="BT360" s="106"/>
      <c r="BU360" s="106"/>
      <c r="BV360" s="106"/>
      <c r="BW360" s="106"/>
      <c r="BX360" s="106"/>
      <c r="BY360" s="106"/>
      <c r="BZ360" s="106"/>
      <c r="CA360" s="106"/>
      <c r="CB360" s="106"/>
      <c r="CC360" s="106"/>
      <c r="CD360" s="106"/>
      <c r="CE360" s="68"/>
      <c r="CF360" s="68"/>
      <c r="CG360" s="68"/>
      <c r="CH360" s="68"/>
      <c r="CI360" s="68"/>
    </row>
    <row r="361" spans="2:87" x14ac:dyDescent="0.2">
      <c r="B361" s="60" t="s">
        <v>268</v>
      </c>
      <c r="E361" s="57"/>
      <c r="F361" s="57"/>
      <c r="G361" s="57"/>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c r="AE361" s="106"/>
      <c r="AF361" s="106"/>
      <c r="AG361" s="106"/>
      <c r="AH361" s="106"/>
      <c r="AI361" s="106"/>
      <c r="AJ361" s="106"/>
      <c r="AK361" s="106"/>
      <c r="AL361" s="106"/>
      <c r="AM361" s="106"/>
      <c r="AN361" s="106">
        <f t="shared" si="667"/>
        <v>1.8939393939393812E-2</v>
      </c>
      <c r="AO361" s="106">
        <f t="shared" si="667"/>
        <v>2.6022304832713727E-2</v>
      </c>
      <c r="AP361" s="106">
        <f t="shared" si="667"/>
        <v>2.1739130434782705E-2</v>
      </c>
      <c r="AQ361" s="106">
        <f t="shared" ref="AQ361:BG362" si="670">+AQ351/AP351-1</f>
        <v>2.4822695035461084E-2</v>
      </c>
      <c r="AR361" s="106">
        <f t="shared" si="670"/>
        <v>3.460207612456756E-2</v>
      </c>
      <c r="AS361" s="106">
        <f t="shared" si="670"/>
        <v>5.0167224080267525E-2</v>
      </c>
      <c r="AT361" s="106">
        <f t="shared" si="670"/>
        <v>2.2292993630573132E-2</v>
      </c>
      <c r="AU361" s="106">
        <f t="shared" si="670"/>
        <v>2.8037383177569986E-2</v>
      </c>
      <c r="AV361" s="106">
        <f t="shared" si="670"/>
        <v>4.5454545454545636E-2</v>
      </c>
      <c r="AW361" s="106">
        <f t="shared" si="670"/>
        <v>1.7391304347825987E-2</v>
      </c>
      <c r="AX361" s="106">
        <f t="shared" si="670"/>
        <v>1.9943019943019946E-2</v>
      </c>
      <c r="AY361" s="106">
        <f t="shared" si="670"/>
        <v>2.7932960893854997E-3</v>
      </c>
      <c r="AZ361" s="106">
        <f t="shared" si="670"/>
        <v>1.3927576601671321E-2</v>
      </c>
      <c r="BA361" s="106">
        <f t="shared" si="670"/>
        <v>2.7472527472527375E-3</v>
      </c>
      <c r="BB361" s="106">
        <f t="shared" si="670"/>
        <v>1.6438356164383494E-2</v>
      </c>
      <c r="BC361" s="106">
        <f t="shared" si="670"/>
        <v>8.0862533692722671E-3</v>
      </c>
      <c r="BD361" s="106">
        <f t="shared" si="670"/>
        <v>1.8716577540106805E-2</v>
      </c>
      <c r="BE361" s="106">
        <f t="shared" si="670"/>
        <v>1.8372703412073532E-2</v>
      </c>
      <c r="BF361" s="106">
        <f t="shared" si="670"/>
        <v>2.0618556701030855E-2</v>
      </c>
      <c r="BG361" s="106">
        <f t="shared" si="670"/>
        <v>5.050505050504972E-3</v>
      </c>
      <c r="BH361" s="164" t="str">
        <f t="shared" si="669"/>
        <v>n/a</v>
      </c>
      <c r="BI361" s="164" t="str">
        <f t="shared" si="669"/>
        <v>n/a</v>
      </c>
      <c r="BJ361" s="164" t="str">
        <f t="shared" si="669"/>
        <v>n/a</v>
      </c>
      <c r="BK361" s="106"/>
      <c r="BL361" s="106"/>
      <c r="BM361" s="106"/>
      <c r="BN361" s="106"/>
      <c r="BO361" s="106"/>
      <c r="BP361" s="106"/>
      <c r="BQ361" s="106"/>
      <c r="BR361" s="106"/>
      <c r="BS361" s="106"/>
      <c r="BT361" s="106"/>
      <c r="BU361" s="106"/>
      <c r="BV361" s="106"/>
      <c r="BW361" s="106"/>
      <c r="BX361" s="106"/>
      <c r="BY361" s="106"/>
      <c r="BZ361" s="106"/>
      <c r="CA361" s="106"/>
      <c r="CB361" s="106"/>
      <c r="CC361" s="106"/>
      <c r="CD361" s="106"/>
      <c r="CE361" s="68"/>
      <c r="CF361" s="68"/>
      <c r="CG361" s="68"/>
      <c r="CH361" s="68"/>
      <c r="CI361" s="68"/>
    </row>
    <row r="362" spans="2:87" x14ac:dyDescent="0.2">
      <c r="B362" s="60" t="s">
        <v>266</v>
      </c>
      <c r="E362" s="57"/>
      <c r="F362" s="57"/>
      <c r="G362" s="57"/>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c r="AD362" s="106"/>
      <c r="AE362" s="106"/>
      <c r="AF362" s="106"/>
      <c r="AG362" s="106"/>
      <c r="AH362" s="106"/>
      <c r="AI362" s="106"/>
      <c r="AJ362" s="106"/>
      <c r="AK362" s="106"/>
      <c r="AL362" s="106"/>
      <c r="AM362" s="106"/>
      <c r="AN362" s="106">
        <f t="shared" si="667"/>
        <v>1.5254454557108277E-2</v>
      </c>
      <c r="AO362" s="106">
        <f t="shared" si="667"/>
        <v>-6.7977915804001698E-3</v>
      </c>
      <c r="AP362" s="106">
        <f t="shared" si="667"/>
        <v>6.1642473652814278E-3</v>
      </c>
      <c r="AQ362" s="106">
        <f t="shared" si="670"/>
        <v>2.3906888958789008E-3</v>
      </c>
      <c r="AR362" s="106">
        <f t="shared" si="670"/>
        <v>9.3231124396957465E-3</v>
      </c>
      <c r="AS362" s="106">
        <f t="shared" si="670"/>
        <v>-3.3871315988338591E-3</v>
      </c>
      <c r="AT362" s="106">
        <f t="shared" si="670"/>
        <v>5.9152193928386776E-3</v>
      </c>
      <c r="AU362" s="106">
        <f t="shared" si="670"/>
        <v>-4.2949176807443035E-3</v>
      </c>
      <c r="AV362" s="106">
        <f t="shared" si="670"/>
        <v>6.6889632107014485E-4</v>
      </c>
      <c r="AW362" s="106">
        <f t="shared" si="670"/>
        <v>-2.6395173453998E-3</v>
      </c>
      <c r="AX362" s="106">
        <f t="shared" si="670"/>
        <v>-1.7913529268884787E-3</v>
      </c>
      <c r="AY362" s="106">
        <f t="shared" si="670"/>
        <v>7.6329067496705427E-4</v>
      </c>
      <c r="AZ362" s="106">
        <f t="shared" si="670"/>
        <v>3.7506819421713189E-3</v>
      </c>
      <c r="BA362" s="106">
        <f t="shared" si="670"/>
        <v>7.350484463748419E-4</v>
      </c>
      <c r="BB362" s="106">
        <f t="shared" si="670"/>
        <v>9.0783168613350895E-4</v>
      </c>
      <c r="BC362" s="106">
        <f t="shared" si="670"/>
        <v>2.1353871986273809E-3</v>
      </c>
      <c r="BD362" s="106">
        <f t="shared" si="670"/>
        <v>1.5251471944386363E-3</v>
      </c>
      <c r="BE362" s="106">
        <f t="shared" si="670"/>
        <v>-1.7836417013722405E-3</v>
      </c>
      <c r="BF362" s="106">
        <f t="shared" si="670"/>
        <v>2.138650347119464E-3</v>
      </c>
      <c r="BG362" s="106">
        <f t="shared" si="670"/>
        <v>1.0818423326825144E-2</v>
      </c>
      <c r="BH362" s="164" t="str">
        <f t="shared" si="669"/>
        <v>n/a</v>
      </c>
      <c r="BI362" s="164" t="str">
        <f t="shared" si="669"/>
        <v>n/a</v>
      </c>
      <c r="BJ362" s="164" t="str">
        <f t="shared" si="669"/>
        <v>n/a</v>
      </c>
      <c r="BK362" s="106"/>
      <c r="BL362" s="106"/>
      <c r="BM362" s="106"/>
      <c r="BN362" s="106"/>
      <c r="BO362" s="106"/>
      <c r="BP362" s="106"/>
      <c r="BQ362" s="106"/>
      <c r="BR362" s="106"/>
      <c r="BS362" s="106"/>
      <c r="BT362" s="106"/>
      <c r="BU362" s="106"/>
      <c r="BV362" s="106"/>
      <c r="BW362" s="106"/>
      <c r="BX362" s="106"/>
      <c r="BY362" s="106"/>
      <c r="BZ362" s="106"/>
      <c r="CA362" s="106"/>
      <c r="CB362" s="106"/>
      <c r="CC362" s="106"/>
      <c r="CD362" s="106"/>
      <c r="CE362" s="68"/>
      <c r="CF362" s="68"/>
      <c r="CG362" s="68"/>
      <c r="CH362" s="68"/>
      <c r="CI362" s="68"/>
    </row>
    <row r="363" spans="2:87" x14ac:dyDescent="0.2">
      <c r="B363" s="60"/>
      <c r="E363" s="57"/>
      <c r="F363" s="57"/>
      <c r="G363" s="57"/>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c r="AE363" s="106"/>
      <c r="AF363" s="106"/>
      <c r="AG363" s="106"/>
      <c r="AH363" s="106"/>
      <c r="AI363" s="106"/>
      <c r="AJ363" s="106"/>
      <c r="AK363" s="106"/>
      <c r="AL363" s="106"/>
      <c r="AM363" s="106"/>
      <c r="AN363" s="106"/>
      <c r="AO363" s="106"/>
      <c r="AP363" s="106"/>
      <c r="AQ363" s="106"/>
      <c r="AR363" s="106"/>
      <c r="AS363" s="106"/>
      <c r="AT363" s="106"/>
      <c r="AU363" s="106"/>
      <c r="AV363" s="106"/>
      <c r="AW363" s="106"/>
      <c r="AX363" s="106"/>
      <c r="AY363" s="106"/>
      <c r="AZ363" s="106"/>
      <c r="BA363" s="106"/>
      <c r="BB363" s="106"/>
      <c r="BC363" s="106"/>
      <c r="BD363" s="106"/>
      <c r="BE363" s="106"/>
      <c r="BF363" s="106"/>
      <c r="BG363" s="106"/>
      <c r="BH363" s="106"/>
      <c r="BI363" s="106"/>
      <c r="BJ363" s="106"/>
      <c r="BK363" s="106"/>
      <c r="BL363" s="106"/>
      <c r="BM363" s="106"/>
      <c r="BN363" s="106"/>
      <c r="BO363" s="106"/>
      <c r="BP363" s="106"/>
      <c r="BQ363" s="106"/>
      <c r="BR363" s="106"/>
      <c r="BS363" s="106"/>
      <c r="BT363" s="106"/>
      <c r="BU363" s="106"/>
      <c r="BV363" s="106"/>
      <c r="BW363" s="106"/>
      <c r="BX363" s="106"/>
      <c r="BY363" s="106"/>
      <c r="BZ363" s="106"/>
      <c r="CA363" s="106"/>
      <c r="CB363" s="106"/>
      <c r="CC363" s="106"/>
      <c r="CD363" s="106"/>
      <c r="CE363" s="68"/>
      <c r="CF363" s="68"/>
      <c r="CG363" s="68"/>
      <c r="CH363" s="68"/>
      <c r="CI363" s="68"/>
    </row>
    <row r="364" spans="2:87" x14ac:dyDescent="0.2">
      <c r="B364" s="52" t="s">
        <v>269</v>
      </c>
      <c r="C364" s="53"/>
      <c r="AK364" s="123"/>
      <c r="AL364" s="106"/>
    </row>
    <row r="365" spans="2:87" x14ac:dyDescent="0.2">
      <c r="B365" s="44"/>
      <c r="AK365" s="123"/>
      <c r="AL365" s="106"/>
    </row>
    <row r="366" spans="2:87" x14ac:dyDescent="0.2">
      <c r="B366" s="54" t="s">
        <v>270</v>
      </c>
      <c r="AH366" s="68"/>
    </row>
    <row r="367" spans="2:87" x14ac:dyDescent="0.2">
      <c r="B367" t="s">
        <v>214</v>
      </c>
      <c r="D367" s="56">
        <f>+D224/AVERAGE(BS308,D308)</f>
        <v>1.7685950413223142</v>
      </c>
      <c r="E367" s="56">
        <f t="shared" ref="E367:AJ367" si="671">+E224/AVERAGE(D308:E308)</f>
        <v>1.8651685393258426</v>
      </c>
      <c r="F367" s="56">
        <f t="shared" si="671"/>
        <v>1.9288256227758007</v>
      </c>
      <c r="G367" s="56">
        <f t="shared" si="671"/>
        <v>2.7651006711409396</v>
      </c>
      <c r="H367" s="56">
        <f t="shared" si="671"/>
        <v>2.4858044164037856</v>
      </c>
      <c r="I367" s="56">
        <f t="shared" si="671"/>
        <v>2.8373493975903616</v>
      </c>
      <c r="J367" s="56">
        <f t="shared" si="671"/>
        <v>2.7942028985507248</v>
      </c>
      <c r="K367" s="56">
        <f t="shared" si="671"/>
        <v>3.1943661971830988</v>
      </c>
      <c r="L367" s="56">
        <f t="shared" si="671"/>
        <v>2.9005524861878453</v>
      </c>
      <c r="M367" s="56">
        <f t="shared" si="671"/>
        <v>3.1978319783197833</v>
      </c>
      <c r="N367" s="56">
        <f t="shared" si="671"/>
        <v>3.3973333333333335</v>
      </c>
      <c r="O367" s="56">
        <f t="shared" si="671"/>
        <v>4.0837696335078535</v>
      </c>
      <c r="P367" s="56">
        <f t="shared" si="671"/>
        <v>3.5</v>
      </c>
      <c r="Q367" s="56">
        <f t="shared" si="671"/>
        <v>4.3155216284987281</v>
      </c>
      <c r="R367" s="56">
        <f t="shared" si="671"/>
        <v>4.8463476070528966</v>
      </c>
      <c r="S367" s="56">
        <f t="shared" si="671"/>
        <v>6.03</v>
      </c>
      <c r="T367" s="56">
        <f t="shared" si="671"/>
        <v>5.8511166253101736</v>
      </c>
      <c r="U367" s="56">
        <f t="shared" si="671"/>
        <v>6.443349753694581</v>
      </c>
      <c r="V367" s="56">
        <f t="shared" si="671"/>
        <v>7.3853658536585369</v>
      </c>
      <c r="W367" s="56">
        <f t="shared" si="671"/>
        <v>9.0048309178743953</v>
      </c>
      <c r="X367" s="56">
        <f t="shared" si="671"/>
        <v>8.3205741626794261</v>
      </c>
      <c r="Y367" s="56">
        <f t="shared" si="671"/>
        <v>9.3002364066193852</v>
      </c>
      <c r="Z367" s="56">
        <f t="shared" si="671"/>
        <v>10.493023255813954</v>
      </c>
      <c r="AA367" s="56">
        <f t="shared" si="671"/>
        <v>13.70183486238532</v>
      </c>
      <c r="AB367" s="56">
        <f t="shared" si="671"/>
        <v>12.426303854875284</v>
      </c>
      <c r="AC367" s="56">
        <f t="shared" si="671"/>
        <v>14.339285714285714</v>
      </c>
      <c r="AD367" s="56">
        <f t="shared" si="671"/>
        <v>15.648351648351648</v>
      </c>
      <c r="AE367" s="56">
        <f t="shared" si="671"/>
        <v>19.808695652173913</v>
      </c>
      <c r="AF367" s="56">
        <f t="shared" si="671"/>
        <v>17.066666666666666</v>
      </c>
      <c r="AG367" s="56">
        <f t="shared" si="671"/>
        <v>19.387234042553192</v>
      </c>
      <c r="AH367" s="56">
        <f t="shared" si="671"/>
        <v>21.19157894736842</v>
      </c>
      <c r="AI367" s="56">
        <f t="shared" si="671"/>
        <v>26.744769874476987</v>
      </c>
      <c r="AJ367" s="56">
        <f t="shared" si="671"/>
        <v>23.612500000000001</v>
      </c>
      <c r="AK367" s="56">
        <f t="shared" ref="AK367:BG367" si="672">+AK224/AVERAGE(AJ308:AK308)</f>
        <v>25.937759336099585</v>
      </c>
      <c r="AL367" s="56">
        <f t="shared" si="672"/>
        <v>27.606625258799173</v>
      </c>
      <c r="AM367" s="56">
        <f t="shared" si="672"/>
        <v>34.847107438016529</v>
      </c>
      <c r="AN367" s="56">
        <f t="shared" si="672"/>
        <v>30.136082474226804</v>
      </c>
      <c r="AO367" s="56">
        <f t="shared" si="672"/>
        <v>33.326488706365502</v>
      </c>
      <c r="AP367" s="56">
        <f t="shared" si="672"/>
        <v>34.570264765784117</v>
      </c>
      <c r="AQ367" s="56">
        <f t="shared" si="672"/>
        <v>41.406060606060606</v>
      </c>
      <c r="AR367" s="56">
        <f t="shared" si="672"/>
        <v>34.179640718562872</v>
      </c>
      <c r="AS367" s="56">
        <f t="shared" si="672"/>
        <v>36.506876227897841</v>
      </c>
      <c r="AT367" s="56">
        <f t="shared" si="672"/>
        <v>39.675146771037184</v>
      </c>
      <c r="AU367" s="56">
        <f t="shared" si="672"/>
        <v>53.543859649122808</v>
      </c>
      <c r="AV367" s="56">
        <f t="shared" si="672"/>
        <v>47.988394584139265</v>
      </c>
      <c r="AW367" s="56">
        <f t="shared" si="672"/>
        <v>53.042471042471043</v>
      </c>
      <c r="AX367" s="56">
        <f t="shared" si="672"/>
        <v>52.357692307692311</v>
      </c>
      <c r="AY367" s="56">
        <f t="shared" si="672"/>
        <v>60.520076481835567</v>
      </c>
      <c r="AZ367" s="56">
        <f t="shared" si="672"/>
        <v>48.270476190476188</v>
      </c>
      <c r="BA367" s="56">
        <f t="shared" si="672"/>
        <v>50.280834914611006</v>
      </c>
      <c r="BB367" s="56">
        <f t="shared" si="672"/>
        <v>49.188679245283019</v>
      </c>
      <c r="BC367" s="56">
        <f t="shared" si="672"/>
        <v>58.781954887218042</v>
      </c>
      <c r="BD367" s="56">
        <f t="shared" si="672"/>
        <v>48.777570093457946</v>
      </c>
      <c r="BE367" s="56">
        <f t="shared" si="672"/>
        <v>53.513914656771803</v>
      </c>
      <c r="BF367" s="56">
        <f t="shared" si="672"/>
        <v>56.155268022181147</v>
      </c>
      <c r="BG367" s="56">
        <f t="shared" si="672"/>
        <v>68.453038674033152</v>
      </c>
      <c r="BH367" s="217" t="str">
        <f t="shared" ref="BH367:BJ371" si="673">+IFERROR(BH224/((BH308+BG308)/2),"n/a")</f>
        <v>n/a</v>
      </c>
      <c r="BI367" s="217" t="str">
        <f t="shared" si="673"/>
        <v>n/a</v>
      </c>
      <c r="BJ367" s="217" t="str">
        <f t="shared" si="673"/>
        <v>n/a</v>
      </c>
      <c r="BK367" s="56"/>
      <c r="BL367" s="56"/>
      <c r="BM367" s="56"/>
      <c r="BN367" s="56"/>
      <c r="BO367" s="56"/>
      <c r="BT367" s="56">
        <f>+SUM(D367:G367)</f>
        <v>8.3276898745648964</v>
      </c>
      <c r="BU367" s="56">
        <f>+SUM(H367:K367)</f>
        <v>11.311722909727971</v>
      </c>
      <c r="BV367" s="56">
        <f>+SUM(L367:O367)</f>
        <v>13.579487431348817</v>
      </c>
      <c r="BW367" s="56">
        <f>+SUM(P367:S367)</f>
        <v>18.691869235551625</v>
      </c>
      <c r="BX367" s="56">
        <f>+SUM(T367:W367)</f>
        <v>28.684663150537688</v>
      </c>
      <c r="BY367" s="56">
        <f>+SUM(X367:AA367)</f>
        <v>41.815668687498082</v>
      </c>
      <c r="BZ367" s="56">
        <f>+SUM(AB367:AE367)</f>
        <v>62.222636869686553</v>
      </c>
      <c r="CA367" s="56">
        <f>+SUM(AF367:AI367)</f>
        <v>84.390249531065265</v>
      </c>
      <c r="CB367" s="56">
        <f>+SUM(AJ367:AM367)</f>
        <v>112.00399203291528</v>
      </c>
      <c r="CC367" s="56">
        <f>+SUM(AN367:AQ367)</f>
        <v>139.43889655243703</v>
      </c>
      <c r="CD367" s="56">
        <f>+SUM(AR367:AU367)</f>
        <v>163.90552336662068</v>
      </c>
      <c r="CE367" s="56">
        <f>+SUM(AV367:AY367)</f>
        <v>213.90863441613817</v>
      </c>
      <c r="CF367" s="56">
        <f>+SUM(AZ367:BC367)</f>
        <v>206.52194523758826</v>
      </c>
      <c r="CG367" s="56">
        <f>+SUM(BD367:BG367)</f>
        <v>226.89979144644406</v>
      </c>
      <c r="CH367" s="56"/>
      <c r="CI367" s="56"/>
    </row>
    <row r="368" spans="2:87" x14ac:dyDescent="0.2">
      <c r="B368" t="s">
        <v>215</v>
      </c>
      <c r="D368" s="56">
        <f>+D225/AVERAGE(BS309,D309)</f>
        <v>0.75294117647058822</v>
      </c>
      <c r="E368" s="56">
        <f t="shared" ref="E368:AJ368" si="674">+E225/AVERAGE(D309:E309)</f>
        <v>0.89273356401384085</v>
      </c>
      <c r="F368" s="56">
        <f t="shared" si="674"/>
        <v>0.84276729559748431</v>
      </c>
      <c r="G368" s="56">
        <f t="shared" si="674"/>
        <v>1.2457142857142858</v>
      </c>
      <c r="H368" s="56">
        <f t="shared" si="674"/>
        <v>1.1927083333333333</v>
      </c>
      <c r="I368" s="56">
        <f t="shared" si="674"/>
        <v>1.3317191283292977</v>
      </c>
      <c r="J368" s="56">
        <f t="shared" si="674"/>
        <v>1.3394919168591224</v>
      </c>
      <c r="K368" s="56">
        <f t="shared" si="674"/>
        <v>1.6044444444444443</v>
      </c>
      <c r="L368" s="56">
        <f t="shared" si="674"/>
        <v>1.4017094017094016</v>
      </c>
      <c r="M368" s="56">
        <f t="shared" si="674"/>
        <v>1.4268041237113402</v>
      </c>
      <c r="N368" s="56">
        <f t="shared" si="674"/>
        <v>1.3667334669338678</v>
      </c>
      <c r="O368" s="56">
        <f t="shared" si="674"/>
        <v>1.7120622568093384</v>
      </c>
      <c r="P368" s="56">
        <f t="shared" si="674"/>
        <v>1.5962264150943397</v>
      </c>
      <c r="Q368" s="56">
        <f t="shared" si="674"/>
        <v>1.8669131238447321</v>
      </c>
      <c r="R368" s="56">
        <f t="shared" si="674"/>
        <v>1.9635036496350364</v>
      </c>
      <c r="S368" s="56">
        <f t="shared" si="674"/>
        <v>2.6057347670250897</v>
      </c>
      <c r="T368" s="56">
        <f t="shared" si="674"/>
        <v>2.444833625218914</v>
      </c>
      <c r="U368" s="56">
        <f t="shared" si="674"/>
        <v>2.8364888123924268</v>
      </c>
      <c r="V368" s="56">
        <f t="shared" si="674"/>
        <v>2.870748299319728</v>
      </c>
      <c r="W368" s="56">
        <f t="shared" si="674"/>
        <v>3.4505862646566166</v>
      </c>
      <c r="X368" s="56">
        <f t="shared" si="674"/>
        <v>2.986842105263158</v>
      </c>
      <c r="Y368" s="56">
        <f t="shared" si="674"/>
        <v>3.3559870550161812</v>
      </c>
      <c r="Z368" s="56">
        <f t="shared" si="674"/>
        <v>3.4664536741214058</v>
      </c>
      <c r="AA368" s="56">
        <f t="shared" si="674"/>
        <v>4.5642633228840124</v>
      </c>
      <c r="AB368" s="56">
        <f t="shared" si="674"/>
        <v>3.9847560975609757</v>
      </c>
      <c r="AC368" s="56">
        <f t="shared" si="674"/>
        <v>4.7242921013412813</v>
      </c>
      <c r="AD368" s="56">
        <f t="shared" si="674"/>
        <v>4.7205882352941178</v>
      </c>
      <c r="AE368" s="56">
        <f t="shared" si="674"/>
        <v>5.9768451519536905</v>
      </c>
      <c r="AF368" s="56">
        <f t="shared" si="674"/>
        <v>5.4196301564722615</v>
      </c>
      <c r="AG368" s="56">
        <f t="shared" si="674"/>
        <v>6.2801120448179271</v>
      </c>
      <c r="AH368" s="56">
        <f t="shared" si="674"/>
        <v>6.8535911602209945</v>
      </c>
      <c r="AI368" s="56">
        <f t="shared" si="674"/>
        <v>8.8555858310626707</v>
      </c>
      <c r="AJ368" s="56">
        <f t="shared" si="674"/>
        <v>8.1285140562248994</v>
      </c>
      <c r="AK368" s="56">
        <f t="shared" ref="AK368:BG368" si="675">+AK225/AVERAGE(AJ309:AK309)</f>
        <v>8.7702523240371839</v>
      </c>
      <c r="AL368" s="56">
        <f t="shared" si="675"/>
        <v>8.822902796271638</v>
      </c>
      <c r="AM368" s="56">
        <f t="shared" si="675"/>
        <v>10.981481481481481</v>
      </c>
      <c r="AN368" s="56">
        <f t="shared" si="675"/>
        <v>9.5424836601307188</v>
      </c>
      <c r="AO368" s="56">
        <f t="shared" si="675"/>
        <v>10.686605981794539</v>
      </c>
      <c r="AP368" s="56">
        <f t="shared" si="675"/>
        <v>10.683937823834198</v>
      </c>
      <c r="AQ368" s="56">
        <f t="shared" si="675"/>
        <v>13.211267605633802</v>
      </c>
      <c r="AR368" s="56">
        <f t="shared" si="675"/>
        <v>10.635</v>
      </c>
      <c r="AS368" s="56">
        <f t="shared" si="675"/>
        <v>11.034313725490197</v>
      </c>
      <c r="AT368" s="56">
        <f t="shared" si="675"/>
        <v>12.403402187120292</v>
      </c>
      <c r="AU368" s="56">
        <f t="shared" si="675"/>
        <v>16.853365384615383</v>
      </c>
      <c r="AV368" s="56">
        <f t="shared" si="675"/>
        <v>15.494061757719715</v>
      </c>
      <c r="AW368" s="56">
        <f t="shared" si="675"/>
        <v>17.247924080664294</v>
      </c>
      <c r="AX368" s="56">
        <f t="shared" si="675"/>
        <v>16.500593119810201</v>
      </c>
      <c r="AY368" s="56">
        <f t="shared" si="675"/>
        <v>19.663529411764706</v>
      </c>
      <c r="AZ368" s="56">
        <f t="shared" si="675"/>
        <v>15.351479289940828</v>
      </c>
      <c r="BA368" s="56">
        <f t="shared" si="675"/>
        <v>15.641212121212121</v>
      </c>
      <c r="BB368" s="56">
        <f t="shared" si="675"/>
        <v>14.225766871165645</v>
      </c>
      <c r="BC368" s="56">
        <f t="shared" si="675"/>
        <v>17.300613496932517</v>
      </c>
      <c r="BD368" s="56">
        <f t="shared" si="675"/>
        <v>15.513447432762836</v>
      </c>
      <c r="BE368" s="56">
        <f t="shared" si="675"/>
        <v>17.860975609756096</v>
      </c>
      <c r="BF368" s="56">
        <f t="shared" si="675"/>
        <v>19.03794369645043</v>
      </c>
      <c r="BG368" s="56">
        <f t="shared" si="675"/>
        <v>23.139705882352942</v>
      </c>
      <c r="BH368" s="217" t="str">
        <f t="shared" si="673"/>
        <v>n/a</v>
      </c>
      <c r="BI368" s="217" t="str">
        <f t="shared" si="673"/>
        <v>n/a</v>
      </c>
      <c r="BJ368" s="217" t="str">
        <f t="shared" si="673"/>
        <v>n/a</v>
      </c>
      <c r="BK368" s="56"/>
      <c r="BL368" s="56"/>
      <c r="BM368" s="56"/>
      <c r="BN368" s="56"/>
      <c r="BO368" s="56"/>
      <c r="BT368" s="56">
        <f>+SUM(D368:G368)</f>
        <v>3.7341563217961991</v>
      </c>
      <c r="BU368" s="56">
        <f>+SUM(H368:K368)</f>
        <v>5.4683638229661984</v>
      </c>
      <c r="BV368" s="56">
        <f>+SUM(L368:O368)</f>
        <v>5.9073092491639478</v>
      </c>
      <c r="BW368" s="56">
        <f>+SUM(P368:S368)</f>
        <v>8.0323779555991983</v>
      </c>
      <c r="BX368" s="56">
        <f>+SUM(T368:W368)</f>
        <v>11.602657001587685</v>
      </c>
      <c r="BY368" s="56">
        <f>+SUM(X368:AA368)</f>
        <v>14.373546157284757</v>
      </c>
      <c r="BZ368" s="56">
        <f>+SUM(AB368:AE368)</f>
        <v>19.406481586150065</v>
      </c>
      <c r="CA368" s="56">
        <f>+SUM(AF368:AI368)</f>
        <v>27.408919192573855</v>
      </c>
      <c r="CB368" s="56">
        <f>+SUM(AJ368:AM368)</f>
        <v>36.703150658015204</v>
      </c>
      <c r="CC368" s="56">
        <f>+SUM(AN368:AQ368)</f>
        <v>44.124295071393256</v>
      </c>
      <c r="CD368" s="56">
        <f>+SUM(AR368:AU368)</f>
        <v>50.926081297225878</v>
      </c>
      <c r="CE368" s="56">
        <f>+SUM(AV368:AY368)</f>
        <v>68.906108369958929</v>
      </c>
      <c r="CF368" s="56">
        <f>+SUM(AZ368:BC368)</f>
        <v>62.519071779251107</v>
      </c>
      <c r="CG368" s="56">
        <f>+SUM(BD368:BG368)</f>
        <v>75.55207262132231</v>
      </c>
      <c r="CH368" s="56"/>
      <c r="CI368" s="56"/>
    </row>
    <row r="369" spans="2:87" x14ac:dyDescent="0.2">
      <c r="B369" t="s">
        <v>216</v>
      </c>
      <c r="D369" s="56">
        <f>+D226/AVERAGE(BS310,D310)</f>
        <v>0.30769230769230771</v>
      </c>
      <c r="E369" s="56">
        <f t="shared" ref="E369:AJ369" si="676">+E226/AVERAGE(D310:E310)</f>
        <v>0.35028248587570621</v>
      </c>
      <c r="F369" s="56">
        <f t="shared" si="676"/>
        <v>0.35406698564593303</v>
      </c>
      <c r="G369" s="56">
        <f t="shared" si="676"/>
        <v>0.46215139442231074</v>
      </c>
      <c r="H369" s="56">
        <f t="shared" si="676"/>
        <v>0.42176870748299322</v>
      </c>
      <c r="I369" s="56">
        <f t="shared" si="676"/>
        <v>0.49696969696969695</v>
      </c>
      <c r="J369" s="56">
        <f t="shared" si="676"/>
        <v>0.56216216216216219</v>
      </c>
      <c r="K369" s="56">
        <f t="shared" si="676"/>
        <v>0.56372549019607843</v>
      </c>
      <c r="L369" s="56">
        <f t="shared" si="676"/>
        <v>0.52914798206278024</v>
      </c>
      <c r="M369" s="56">
        <f t="shared" si="676"/>
        <v>0.55214723926380371</v>
      </c>
      <c r="N369" s="56">
        <f t="shared" si="676"/>
        <v>0.57894736842105265</v>
      </c>
      <c r="O369" s="56">
        <f t="shared" si="676"/>
        <v>0.68869565217391304</v>
      </c>
      <c r="P369" s="56">
        <f t="shared" si="676"/>
        <v>0.63857374392220423</v>
      </c>
      <c r="Q369" s="56">
        <f t="shared" si="676"/>
        <v>0.75075987841945291</v>
      </c>
      <c r="R369" s="56">
        <f t="shared" si="676"/>
        <v>0.80579710144927541</v>
      </c>
      <c r="S369" s="56">
        <f t="shared" si="676"/>
        <v>0.94853963838664812</v>
      </c>
      <c r="T369" s="56">
        <f t="shared" si="676"/>
        <v>0.93403693931398413</v>
      </c>
      <c r="U369" s="56">
        <f t="shared" si="676"/>
        <v>1.0774999999999999</v>
      </c>
      <c r="V369" s="56">
        <f t="shared" si="676"/>
        <v>1.1770334928229664</v>
      </c>
      <c r="W369" s="56">
        <f t="shared" si="676"/>
        <v>1.2662857142857142</v>
      </c>
      <c r="X369" s="56">
        <f t="shared" si="676"/>
        <v>1.1782608695652175</v>
      </c>
      <c r="Y369" s="56">
        <f t="shared" si="676"/>
        <v>1.2891877909984479</v>
      </c>
      <c r="Z369" s="56">
        <f t="shared" si="676"/>
        <v>1.3942969518190758</v>
      </c>
      <c r="AA369" s="56">
        <f t="shared" si="676"/>
        <v>1.5977390485162506</v>
      </c>
      <c r="AB369" s="56">
        <f t="shared" si="676"/>
        <v>1.5587703435804701</v>
      </c>
      <c r="AC369" s="56">
        <f t="shared" si="676"/>
        <v>1.770293609671848</v>
      </c>
      <c r="AD369" s="56">
        <f t="shared" si="676"/>
        <v>1.8902538902538903</v>
      </c>
      <c r="AE369" s="56">
        <f t="shared" si="676"/>
        <v>2.0721966205837172</v>
      </c>
      <c r="AF369" s="56">
        <f t="shared" si="676"/>
        <v>1.9798416126709864</v>
      </c>
      <c r="AG369" s="56">
        <f t="shared" si="676"/>
        <v>2.1317934782608696</v>
      </c>
      <c r="AH369" s="56">
        <f t="shared" si="676"/>
        <v>2.2709677419354839</v>
      </c>
      <c r="AI369" s="56">
        <f t="shared" si="676"/>
        <v>2.5388409371146734</v>
      </c>
      <c r="AJ369" s="56">
        <f t="shared" si="676"/>
        <v>2.4585537918871254</v>
      </c>
      <c r="AK369" s="56">
        <f t="shared" ref="AK369:BG369" si="677">+AK226/AVERAGE(AJ310:AK310)</f>
        <v>2.6213921901528012</v>
      </c>
      <c r="AL369" s="56">
        <f t="shared" si="677"/>
        <v>2.6747653230259525</v>
      </c>
      <c r="AM369" s="56">
        <f t="shared" si="677"/>
        <v>2.9603004291845494</v>
      </c>
      <c r="AN369" s="56">
        <f t="shared" si="677"/>
        <v>2.7821576763485476</v>
      </c>
      <c r="AO369" s="56">
        <f t="shared" si="677"/>
        <v>3.036290322580645</v>
      </c>
      <c r="AP369" s="56">
        <f t="shared" si="677"/>
        <v>3.2410714285714284</v>
      </c>
      <c r="AQ369" s="56">
        <f t="shared" si="677"/>
        <v>3.5738664066309118</v>
      </c>
      <c r="AR369" s="56">
        <f t="shared" si="677"/>
        <v>3.0567808540591273</v>
      </c>
      <c r="AS369" s="56">
        <f t="shared" si="677"/>
        <v>2.9897091722595079</v>
      </c>
      <c r="AT369" s="56">
        <f t="shared" si="677"/>
        <v>3.6655112651646449</v>
      </c>
      <c r="AU369" s="56">
        <f t="shared" si="677"/>
        <v>4.053276955602537</v>
      </c>
      <c r="AV369" s="56">
        <f t="shared" si="677"/>
        <v>3.9431864965006174</v>
      </c>
      <c r="AW369" s="56">
        <f t="shared" si="677"/>
        <v>4.1603206412825653</v>
      </c>
      <c r="AX369" s="56">
        <f t="shared" si="677"/>
        <v>4.2949272512780183</v>
      </c>
      <c r="AY369" s="56">
        <f t="shared" si="677"/>
        <v>4.8857589984350547</v>
      </c>
      <c r="AZ369" s="56">
        <f t="shared" si="677"/>
        <v>4.4730097087378642</v>
      </c>
      <c r="BA369" s="56">
        <f t="shared" si="677"/>
        <v>4.541122213681783</v>
      </c>
      <c r="BB369" s="56">
        <f t="shared" si="677"/>
        <v>4.4188001528467709</v>
      </c>
      <c r="BC369" s="56">
        <f t="shared" si="677"/>
        <v>4.6112804878048781</v>
      </c>
      <c r="BD369" s="56">
        <f t="shared" si="677"/>
        <v>4.522003034901366</v>
      </c>
      <c r="BE369" s="56">
        <f t="shared" si="677"/>
        <v>4.87467265245043</v>
      </c>
      <c r="BF369" s="56">
        <f t="shared" si="677"/>
        <v>5.120473022912047</v>
      </c>
      <c r="BG369" s="56">
        <f t="shared" si="677"/>
        <v>5.5154185022026434</v>
      </c>
      <c r="BH369" s="217" t="str">
        <f t="shared" si="673"/>
        <v>n/a</v>
      </c>
      <c r="BI369" s="217" t="str">
        <f t="shared" si="673"/>
        <v>n/a</v>
      </c>
      <c r="BJ369" s="217" t="str">
        <f t="shared" si="673"/>
        <v>n/a</v>
      </c>
      <c r="BK369" s="56"/>
      <c r="BL369" s="56"/>
      <c r="BM369" s="56"/>
      <c r="BN369" s="56"/>
      <c r="BO369" s="56"/>
      <c r="BT369" s="56">
        <f>+SUM(D369:G369)</f>
        <v>1.4741931736362577</v>
      </c>
      <c r="BU369" s="56">
        <f>+SUM(H369:K369)</f>
        <v>2.0446260568109311</v>
      </c>
      <c r="BV369" s="56">
        <f>+SUM(L369:O369)</f>
        <v>2.3489382419215499</v>
      </c>
      <c r="BW369" s="56">
        <f>+SUM(P369:S369)</f>
        <v>3.1436703621775806</v>
      </c>
      <c r="BX369" s="56">
        <f>+SUM(T369:W369)</f>
        <v>4.4548561464226646</v>
      </c>
      <c r="BY369" s="56">
        <f>+SUM(X369:AA369)</f>
        <v>5.4594846608989913</v>
      </c>
      <c r="BZ369" s="56">
        <f>+SUM(AB369:AE369)</f>
        <v>7.291514464089925</v>
      </c>
      <c r="CA369" s="56">
        <f>+SUM(AF369:AI369)</f>
        <v>8.9214437699820124</v>
      </c>
      <c r="CB369" s="56">
        <f>+SUM(AJ369:AM369)</f>
        <v>10.715011734250428</v>
      </c>
      <c r="CC369" s="56">
        <f>+SUM(AN369:AQ369)</f>
        <v>12.633385834131534</v>
      </c>
      <c r="CD369" s="56">
        <f>+SUM(AR369:AU369)</f>
        <v>13.765278247085817</v>
      </c>
      <c r="CE369" s="56">
        <f>+SUM(AV369:AY369)</f>
        <v>17.284193387496256</v>
      </c>
      <c r="CF369" s="56">
        <f>+SUM(AZ369:BC369)</f>
        <v>18.044212563071298</v>
      </c>
      <c r="CG369" s="56">
        <f>+SUM(BD369:BG369)</f>
        <v>20.032567212466486</v>
      </c>
      <c r="CH369" s="56"/>
      <c r="CI369" s="56"/>
    </row>
    <row r="370" spans="2:87" ht="13.5" x14ac:dyDescent="0.35">
      <c r="B370" t="s">
        <v>217</v>
      </c>
      <c r="D370" s="69">
        <f>+D227/AVERAGE(BS311,D311)</f>
        <v>0.17105263157894737</v>
      </c>
      <c r="E370" s="69">
        <f t="shared" ref="E370:AJ370" si="678">+E227/AVERAGE(D311:E311)</f>
        <v>0.24309392265193369</v>
      </c>
      <c r="F370" s="69">
        <f t="shared" si="678"/>
        <v>0.22321428571428573</v>
      </c>
      <c r="G370" s="69">
        <f t="shared" si="678"/>
        <v>0.33204633204633205</v>
      </c>
      <c r="H370" s="69">
        <f t="shared" si="678"/>
        <v>0.31292517006802723</v>
      </c>
      <c r="I370" s="69">
        <f t="shared" si="678"/>
        <v>0.38953488372093026</v>
      </c>
      <c r="J370" s="69">
        <f t="shared" si="678"/>
        <v>0.4</v>
      </c>
      <c r="K370" s="69">
        <f t="shared" si="678"/>
        <v>0.40740740740740738</v>
      </c>
      <c r="L370" s="69">
        <f t="shared" si="678"/>
        <v>0.37021276595744679</v>
      </c>
      <c r="M370" s="69">
        <f t="shared" si="678"/>
        <v>0.44054580896686157</v>
      </c>
      <c r="N370" s="69">
        <f t="shared" si="678"/>
        <v>0.46762589928057552</v>
      </c>
      <c r="O370" s="69">
        <f t="shared" si="678"/>
        <v>0.56418918918918914</v>
      </c>
      <c r="P370" s="69">
        <f t="shared" si="678"/>
        <v>0.50396196513470681</v>
      </c>
      <c r="Q370" s="69">
        <f t="shared" si="678"/>
        <v>0.63298662704309061</v>
      </c>
      <c r="R370" s="69">
        <f t="shared" si="678"/>
        <v>0.67136812411847668</v>
      </c>
      <c r="S370" s="69">
        <f t="shared" si="678"/>
        <v>0.84167794316644118</v>
      </c>
      <c r="T370" s="69">
        <f t="shared" si="678"/>
        <v>0.7029831387808041</v>
      </c>
      <c r="U370" s="69">
        <f t="shared" si="678"/>
        <v>0.86104218362282881</v>
      </c>
      <c r="V370" s="69">
        <f t="shared" si="678"/>
        <v>0.84652278177458029</v>
      </c>
      <c r="W370" s="69">
        <f t="shared" si="678"/>
        <v>0.93830034924330619</v>
      </c>
      <c r="X370" s="69">
        <f t="shared" si="678"/>
        <v>0.79640044994375703</v>
      </c>
      <c r="Y370" s="69">
        <f t="shared" si="678"/>
        <v>0.8987547374120195</v>
      </c>
      <c r="Z370" s="69">
        <f t="shared" si="678"/>
        <v>0.93762993762993763</v>
      </c>
      <c r="AA370" s="69">
        <f t="shared" si="678"/>
        <v>1.0994502748625687</v>
      </c>
      <c r="AB370" s="69">
        <f t="shared" si="678"/>
        <v>0.90786948176583493</v>
      </c>
      <c r="AC370" s="69">
        <f t="shared" si="678"/>
        <v>1.1276400367309458</v>
      </c>
      <c r="AD370" s="69">
        <f t="shared" si="678"/>
        <v>1.2090988626421697</v>
      </c>
      <c r="AE370" s="69">
        <f t="shared" si="678"/>
        <v>1.4048616932103939</v>
      </c>
      <c r="AF370" s="69">
        <f t="shared" si="678"/>
        <v>1.2633279483037156</v>
      </c>
      <c r="AG370" s="69">
        <f t="shared" si="678"/>
        <v>1.4821150855365475</v>
      </c>
      <c r="AH370" s="69">
        <f t="shared" si="678"/>
        <v>1.5846501128668171</v>
      </c>
      <c r="AI370" s="69">
        <f t="shared" si="678"/>
        <v>1.8595464520848572</v>
      </c>
      <c r="AJ370" s="69">
        <f t="shared" si="678"/>
        <v>1.6778811739441661</v>
      </c>
      <c r="AK370" s="69">
        <f t="shared" ref="AK370:BG370" si="679">+AK227/AVERAGE(AJ311:AK311)</f>
        <v>1.9075630252100841</v>
      </c>
      <c r="AL370" s="69">
        <f t="shared" si="679"/>
        <v>1.8163125428375599</v>
      </c>
      <c r="AM370" s="69">
        <f t="shared" si="679"/>
        <v>2.1144010767160162</v>
      </c>
      <c r="AN370" s="69">
        <f t="shared" si="679"/>
        <v>1.8932806324110671</v>
      </c>
      <c r="AO370" s="69">
        <f t="shared" si="679"/>
        <v>2.129032258064516</v>
      </c>
      <c r="AP370" s="69">
        <f t="shared" si="679"/>
        <v>2.2398989898989901</v>
      </c>
      <c r="AQ370" s="69">
        <f t="shared" si="679"/>
        <v>2.4830142063001852</v>
      </c>
      <c r="AR370" s="69">
        <f t="shared" si="679"/>
        <v>1.9952038369304557</v>
      </c>
      <c r="AS370" s="69">
        <f t="shared" si="679"/>
        <v>1.7819850831899025</v>
      </c>
      <c r="AT370" s="69">
        <f t="shared" si="679"/>
        <v>2.2235817575083425</v>
      </c>
      <c r="AU370" s="69">
        <f t="shared" si="679"/>
        <v>2.7739463601532566</v>
      </c>
      <c r="AV370" s="69">
        <f t="shared" si="679"/>
        <v>2.6372917786136485</v>
      </c>
      <c r="AW370" s="69">
        <f t="shared" si="679"/>
        <v>3.0449497620306718</v>
      </c>
      <c r="AX370" s="69">
        <f t="shared" si="679"/>
        <v>3.1378947368421053</v>
      </c>
      <c r="AY370" s="69">
        <f t="shared" si="679"/>
        <v>3.4255543822597678</v>
      </c>
      <c r="AZ370" s="69">
        <f t="shared" si="679"/>
        <v>3.1461619348054679</v>
      </c>
      <c r="BA370" s="69">
        <f t="shared" si="679"/>
        <v>3.3538622129436324</v>
      </c>
      <c r="BB370" s="69">
        <f t="shared" si="679"/>
        <v>3.2124352331606216</v>
      </c>
      <c r="BC370" s="69">
        <f t="shared" si="679"/>
        <v>3.516923076923077</v>
      </c>
      <c r="BD370" s="69">
        <f t="shared" si="679"/>
        <v>3.3506361323155218</v>
      </c>
      <c r="BE370" s="69">
        <f t="shared" si="679"/>
        <v>3.7615694164989941</v>
      </c>
      <c r="BF370" s="69">
        <f t="shared" si="679"/>
        <v>4.2193548387096778</v>
      </c>
      <c r="BG370" s="69">
        <f t="shared" si="679"/>
        <v>4.503200393894633</v>
      </c>
      <c r="BH370" s="218" t="str">
        <f t="shared" si="673"/>
        <v>n/a</v>
      </c>
      <c r="BI370" s="218" t="str">
        <f t="shared" si="673"/>
        <v>n/a</v>
      </c>
      <c r="BJ370" s="218" t="str">
        <f t="shared" si="673"/>
        <v>n/a</v>
      </c>
      <c r="BK370" s="69"/>
      <c r="BL370" s="69"/>
      <c r="BM370" s="69"/>
      <c r="BN370" s="69"/>
      <c r="BO370" s="69"/>
      <c r="BT370" s="69">
        <f>+SUM(D370:G370)</f>
        <v>0.96940717199149884</v>
      </c>
      <c r="BU370" s="69">
        <f>+SUM(H370:K370)</f>
        <v>1.5098674611963649</v>
      </c>
      <c r="BV370" s="69">
        <f>+SUM(L370:O370)</f>
        <v>1.8425736633940728</v>
      </c>
      <c r="BW370" s="69">
        <f>+SUM(P370:S370)</f>
        <v>2.6499946594627151</v>
      </c>
      <c r="BX370" s="69">
        <f>+SUM(T370:W370)</f>
        <v>3.3488484534215193</v>
      </c>
      <c r="BY370" s="69">
        <f>+SUM(X370:AA370)</f>
        <v>3.7322353998482827</v>
      </c>
      <c r="BZ370" s="69">
        <f>+SUM(AB370:AE370)</f>
        <v>4.6494700743493445</v>
      </c>
      <c r="CA370" s="69">
        <f>+SUM(AF370:AI370)</f>
        <v>6.1896395987919375</v>
      </c>
      <c r="CB370" s="69">
        <f>+SUM(AJ370:AM370)</f>
        <v>7.5161578187078266</v>
      </c>
      <c r="CC370" s="69">
        <f>+SUM(AN370:AQ370)</f>
        <v>8.7452260866747586</v>
      </c>
      <c r="CD370" s="69">
        <f>+SUM(AR370:AU370)</f>
        <v>8.7747170377819579</v>
      </c>
      <c r="CE370" s="69">
        <f>+SUM(AV370:AY370)</f>
        <v>12.245690659746192</v>
      </c>
      <c r="CF370" s="69">
        <f>+SUM(AZ370:BC370)</f>
        <v>13.229382457832799</v>
      </c>
      <c r="CG370" s="69">
        <f>+SUM(BD370:BG370)</f>
        <v>15.834760781418826</v>
      </c>
      <c r="CH370" s="69"/>
      <c r="CI370" s="69"/>
    </row>
    <row r="371" spans="2:87" s="44" customFormat="1" x14ac:dyDescent="0.2">
      <c r="B371" s="110" t="s">
        <v>264</v>
      </c>
      <c r="D371" s="126">
        <f>+D228/AVERAGE(BS312,D312)</f>
        <v>0.87121212121212122</v>
      </c>
      <c r="E371" s="126">
        <f t="shared" ref="E371:AJ371" si="680">+E228/AVERAGE(D312:E312)</f>
        <v>0.94310722100656452</v>
      </c>
      <c r="F371" s="126">
        <f t="shared" si="680"/>
        <v>0.90503875968992253</v>
      </c>
      <c r="G371" s="126">
        <f t="shared" si="680"/>
        <v>1.2625215889464594</v>
      </c>
      <c r="H371" s="126">
        <f t="shared" si="680"/>
        <v>1.1342125678820791</v>
      </c>
      <c r="I371" s="126">
        <f t="shared" si="680"/>
        <v>1.2614517265680056</v>
      </c>
      <c r="J371" s="126">
        <f t="shared" si="680"/>
        <v>1.2405721716514955</v>
      </c>
      <c r="K371" s="126">
        <f t="shared" si="680"/>
        <v>1.3750759878419452</v>
      </c>
      <c r="L371" s="126">
        <f t="shared" si="680"/>
        <v>1.2119129438717067</v>
      </c>
      <c r="M371" s="126">
        <f t="shared" si="680"/>
        <v>1.2758620689655173</v>
      </c>
      <c r="N371" s="126">
        <f t="shared" si="680"/>
        <v>1.2864424057084607</v>
      </c>
      <c r="O371" s="126">
        <f t="shared" si="680"/>
        <v>1.5365971885603491</v>
      </c>
      <c r="P371" s="126">
        <f t="shared" si="680"/>
        <v>1.3462603878116344</v>
      </c>
      <c r="Q371" s="126">
        <f t="shared" si="680"/>
        <v>1.6008830022075056</v>
      </c>
      <c r="R371" s="126">
        <f t="shared" si="680"/>
        <v>1.7201365187713311</v>
      </c>
      <c r="S371" s="126">
        <f t="shared" si="680"/>
        <v>2.1399006622516556</v>
      </c>
      <c r="T371" s="126">
        <f t="shared" si="680"/>
        <v>1.9992009588493806</v>
      </c>
      <c r="U371" s="126">
        <f t="shared" si="680"/>
        <v>2.2445044350173546</v>
      </c>
      <c r="V371" s="126">
        <f t="shared" si="680"/>
        <v>2.401049475262369</v>
      </c>
      <c r="W371" s="126">
        <f t="shared" si="680"/>
        <v>2.8058287795992713</v>
      </c>
      <c r="X371" s="126">
        <f t="shared" si="680"/>
        <v>2.4994708994708996</v>
      </c>
      <c r="Y371" s="126">
        <f t="shared" si="680"/>
        <v>2.7581030365063119</v>
      </c>
      <c r="Z371" s="126">
        <f t="shared" si="680"/>
        <v>2.9660626029654038</v>
      </c>
      <c r="AA371" s="126">
        <f t="shared" si="680"/>
        <v>3.725127551020408</v>
      </c>
      <c r="AB371" s="126">
        <f t="shared" si="680"/>
        <v>3.3171032357473034</v>
      </c>
      <c r="AC371" s="126">
        <f t="shared" si="680"/>
        <v>3.8241235888294711</v>
      </c>
      <c r="AD371" s="126">
        <f t="shared" si="680"/>
        <v>4.0068591026007434</v>
      </c>
      <c r="AE371" s="126">
        <f t="shared" si="680"/>
        <v>4.8315962698848054</v>
      </c>
      <c r="AF371" s="126">
        <f t="shared" si="680"/>
        <v>4.2318840579710146</v>
      </c>
      <c r="AG371" s="126">
        <f t="shared" si="680"/>
        <v>4.7285641806189753</v>
      </c>
      <c r="AH371" s="126">
        <f t="shared" si="680"/>
        <v>5.0647376164786664</v>
      </c>
      <c r="AI371" s="126">
        <f t="shared" si="680"/>
        <v>6.1756724589383483</v>
      </c>
      <c r="AJ371" s="126">
        <f t="shared" si="680"/>
        <v>5.5334104046242771</v>
      </c>
      <c r="AK371" s="126">
        <f t="shared" ref="AK371:BG371" si="681">+AK228/AVERAGE(AJ312:AK312)</f>
        <v>5.9733634311512418</v>
      </c>
      <c r="AL371" s="126">
        <f t="shared" si="681"/>
        <v>6.0954706927175843</v>
      </c>
      <c r="AM371" s="126">
        <f t="shared" si="681"/>
        <v>7.3699346405228754</v>
      </c>
      <c r="AN371" s="126">
        <f t="shared" si="681"/>
        <v>6.4212095400340718</v>
      </c>
      <c r="AO371" s="126">
        <f t="shared" si="681"/>
        <v>7.0505219206680581</v>
      </c>
      <c r="AP371" s="126">
        <f t="shared" si="681"/>
        <v>7.2597162245527453</v>
      </c>
      <c r="AQ371" s="126">
        <f t="shared" si="681"/>
        <v>8.5248685806712494</v>
      </c>
      <c r="AR371" s="126">
        <f t="shared" si="681"/>
        <v>6.9556862745098043</v>
      </c>
      <c r="AS371" s="126">
        <f t="shared" si="681"/>
        <v>7.0477088440505371</v>
      </c>
      <c r="AT371" s="126">
        <f t="shared" si="681"/>
        <v>7.8933823529411766</v>
      </c>
      <c r="AU371" s="126">
        <f t="shared" si="681"/>
        <v>10.13978688820661</v>
      </c>
      <c r="AV371" s="126">
        <f t="shared" si="681"/>
        <v>9.2657107452646486</v>
      </c>
      <c r="AW371" s="126">
        <f t="shared" si="681"/>
        <v>10.119018618409605</v>
      </c>
      <c r="AX371" s="126">
        <f t="shared" si="681"/>
        <v>9.9931105752669644</v>
      </c>
      <c r="AY371" s="126">
        <f t="shared" si="681"/>
        <v>11.564829125880131</v>
      </c>
      <c r="AZ371" s="126">
        <f t="shared" si="681"/>
        <v>9.5460920129981179</v>
      </c>
      <c r="BA371" s="126">
        <f t="shared" si="681"/>
        <v>9.8201022146507668</v>
      </c>
      <c r="BB371" s="126">
        <f t="shared" si="681"/>
        <v>9.4073319755600817</v>
      </c>
      <c r="BC371" s="126">
        <f t="shared" si="681"/>
        <v>10.864718797500423</v>
      </c>
      <c r="BD371" s="126">
        <f t="shared" si="681"/>
        <v>9.6221027880416532</v>
      </c>
      <c r="BE371" s="126">
        <f t="shared" si="681"/>
        <v>10.630897009966777</v>
      </c>
      <c r="BF371" s="126">
        <f t="shared" si="681"/>
        <v>11.234084553380491</v>
      </c>
      <c r="BG371" s="126">
        <f t="shared" si="681"/>
        <v>13.121033693163232</v>
      </c>
      <c r="BH371" s="219" t="str">
        <f t="shared" si="673"/>
        <v>n/a</v>
      </c>
      <c r="BI371" s="219" t="str">
        <f t="shared" si="673"/>
        <v>n/a</v>
      </c>
      <c r="BJ371" s="219" t="str">
        <f t="shared" si="673"/>
        <v>n/a</v>
      </c>
      <c r="BK371" s="126"/>
      <c r="BL371" s="126"/>
      <c r="BM371" s="126"/>
      <c r="BN371" s="126"/>
      <c r="BO371" s="126"/>
      <c r="BT371" s="126">
        <f>+SUM(D371:G371)</f>
        <v>3.9818796908550675</v>
      </c>
      <c r="BU371" s="126">
        <f>+SUM(H371:K371)</f>
        <v>5.0113124539435256</v>
      </c>
      <c r="BV371" s="126">
        <f>+SUM(L371:O371)</f>
        <v>5.3108146071060336</v>
      </c>
      <c r="BW371" s="126">
        <f>+SUM(P371:S371)</f>
        <v>6.8071805710421263</v>
      </c>
      <c r="BX371" s="126">
        <f>+SUM(T371:W371)</f>
        <v>9.4505836487283759</v>
      </c>
      <c r="BY371" s="126">
        <f>+SUM(X371:AA371)</f>
        <v>11.948764089963023</v>
      </c>
      <c r="BZ371" s="126">
        <f>+SUM(AB371:AE371)</f>
        <v>15.979682197062324</v>
      </c>
      <c r="CA371" s="126">
        <f>+SUM(AF371:AI371)</f>
        <v>20.200858314007004</v>
      </c>
      <c r="CB371" s="126">
        <f>+SUM(AJ371:AM371)</f>
        <v>24.972179169015977</v>
      </c>
      <c r="CC371" s="126">
        <f>+SUM(AN371:AQ371)</f>
        <v>29.256316265926127</v>
      </c>
      <c r="CD371" s="126">
        <f>+SUM(AR371:AU371)</f>
        <v>32.03656435970813</v>
      </c>
      <c r="CE371" s="126">
        <f>+SUM(AV371:AY371)</f>
        <v>40.942669064821345</v>
      </c>
      <c r="CF371" s="126">
        <f>+SUM(AZ371:BC371)</f>
        <v>39.638245000709389</v>
      </c>
      <c r="CG371" s="126">
        <f>+SUM(BD371:BG371)</f>
        <v>44.608118044552157</v>
      </c>
      <c r="CH371" s="126"/>
      <c r="CI371" s="126"/>
    </row>
    <row r="372" spans="2:87" x14ac:dyDescent="0.2">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c r="BK372" s="56"/>
      <c r="BL372" s="56"/>
      <c r="BM372" s="56"/>
      <c r="BN372" s="56"/>
      <c r="BO372" s="56"/>
    </row>
    <row r="373" spans="2:87" x14ac:dyDescent="0.2">
      <c r="B373" s="62" t="s">
        <v>17</v>
      </c>
    </row>
    <row r="374" spans="2:87" x14ac:dyDescent="0.2">
      <c r="B374" s="60" t="s">
        <v>214</v>
      </c>
      <c r="E374" s="76"/>
      <c r="F374" s="76"/>
      <c r="G374" s="76"/>
      <c r="H374" s="106">
        <f t="shared" ref="H374:Q378" si="682">+H367/D367-1</f>
        <v>0.4055249270320469</v>
      </c>
      <c r="I374" s="106">
        <f t="shared" si="682"/>
        <v>0.52122949629844695</v>
      </c>
      <c r="J374" s="106">
        <f t="shared" si="682"/>
        <v>0.44865500828921334</v>
      </c>
      <c r="K374" s="106">
        <f t="shared" si="682"/>
        <v>0.15524408587447014</v>
      </c>
      <c r="L374" s="106">
        <f t="shared" si="682"/>
        <v>0.16684662198165845</v>
      </c>
      <c r="M374" s="106">
        <f t="shared" si="682"/>
        <v>0.12704906242268366</v>
      </c>
      <c r="N374" s="106">
        <f t="shared" si="682"/>
        <v>0.21585062240663899</v>
      </c>
      <c r="O374" s="106">
        <f t="shared" si="682"/>
        <v>0.27842876533976013</v>
      </c>
      <c r="P374" s="106">
        <f t="shared" si="682"/>
        <v>0.20666666666666655</v>
      </c>
      <c r="Q374" s="106">
        <f t="shared" si="682"/>
        <v>0.34951481433561926</v>
      </c>
      <c r="R374" s="106">
        <f t="shared" ref="R374:AA378" si="683">+R367/N367-1</f>
        <v>0.42651519045905495</v>
      </c>
      <c r="S374" s="106">
        <f t="shared" si="683"/>
        <v>0.47657692307692301</v>
      </c>
      <c r="T374" s="106">
        <f t="shared" si="683"/>
        <v>0.67174760723147808</v>
      </c>
      <c r="U374" s="106">
        <f t="shared" si="683"/>
        <v>0.49306394646342566</v>
      </c>
      <c r="V374" s="106">
        <f t="shared" si="683"/>
        <v>0.52390345317174591</v>
      </c>
      <c r="W374" s="106">
        <f t="shared" si="683"/>
        <v>0.49333846067568743</v>
      </c>
      <c r="X374" s="106">
        <f t="shared" si="683"/>
        <v>0.42204893450373571</v>
      </c>
      <c r="Y374" s="106">
        <f t="shared" si="683"/>
        <v>0.44338531387135727</v>
      </c>
      <c r="Z374" s="106">
        <f t="shared" si="683"/>
        <v>0.4207858437528802</v>
      </c>
      <c r="AA374" s="106">
        <f t="shared" si="683"/>
        <v>0.52160934362326272</v>
      </c>
      <c r="AB374" s="106">
        <f t="shared" ref="AB374:AK378" si="684">+AB367/X367-1</f>
        <v>0.4934430739901865</v>
      </c>
      <c r="AC374" s="106">
        <f t="shared" si="684"/>
        <v>0.54181948580143802</v>
      </c>
      <c r="AD374" s="106">
        <f t="shared" si="684"/>
        <v>0.49131010833138489</v>
      </c>
      <c r="AE374" s="106">
        <f t="shared" si="684"/>
        <v>0.44569656919113276</v>
      </c>
      <c r="AF374" s="106">
        <f t="shared" si="684"/>
        <v>0.37343065693430644</v>
      </c>
      <c r="AG374" s="106">
        <f t="shared" si="684"/>
        <v>0.35203624705227754</v>
      </c>
      <c r="AH374" s="106">
        <f t="shared" si="684"/>
        <v>0.35423713778829091</v>
      </c>
      <c r="AI374" s="106">
        <f t="shared" si="684"/>
        <v>0.35015300068694177</v>
      </c>
      <c r="AJ374" s="106">
        <f t="shared" si="684"/>
        <v>0.383544921875</v>
      </c>
      <c r="AK374" s="106">
        <f t="shared" si="684"/>
        <v>0.33787828006659404</v>
      </c>
      <c r="AL374" s="106">
        <f t="shared" ref="AL374:AU378" si="685">+AL367/AH367-1</f>
        <v>0.30271676911679002</v>
      </c>
      <c r="AM374" s="106">
        <f t="shared" si="685"/>
        <v>0.30295035633384715</v>
      </c>
      <c r="AN374" s="106">
        <f t="shared" si="685"/>
        <v>0.2762766532229457</v>
      </c>
      <c r="AO374" s="106">
        <f t="shared" si="685"/>
        <v>0.28486382630524498</v>
      </c>
      <c r="AP374" s="106">
        <f t="shared" si="685"/>
        <v>0.25224522887908551</v>
      </c>
      <c r="AQ374" s="106">
        <f t="shared" si="685"/>
        <v>0.18822087829558476</v>
      </c>
      <c r="AR374" s="106">
        <f t="shared" si="685"/>
        <v>0.13417663851279382</v>
      </c>
      <c r="AS374" s="106">
        <f t="shared" si="685"/>
        <v>9.5431221379312925E-2</v>
      </c>
      <c r="AT374" s="106">
        <f t="shared" si="685"/>
        <v>0.14766684721216317</v>
      </c>
      <c r="AU374" s="106">
        <f t="shared" si="685"/>
        <v>0.29314063848144944</v>
      </c>
      <c r="AV374" s="106">
        <f t="shared" ref="AV374:BG378" si="686">+AV367/AR367-1</f>
        <v>0.40400523748270101</v>
      </c>
      <c r="AW374" s="106">
        <f t="shared" si="686"/>
        <v>0.45294466476255302</v>
      </c>
      <c r="AX374" s="106">
        <f t="shared" si="686"/>
        <v>0.31965970056381421</v>
      </c>
      <c r="AY374" s="106">
        <f t="shared" si="686"/>
        <v>0.13028976391370484</v>
      </c>
      <c r="AZ374" s="106">
        <f t="shared" si="686"/>
        <v>5.8781213412411049E-3</v>
      </c>
      <c r="BA374" s="106">
        <f t="shared" si="686"/>
        <v>-5.206462054998906E-2</v>
      </c>
      <c r="BB374" s="106">
        <f t="shared" si="686"/>
        <v>-6.0526217308926489E-2</v>
      </c>
      <c r="BC374" s="106">
        <f t="shared" si="686"/>
        <v>-2.871975211629485E-2</v>
      </c>
      <c r="BD374" s="106">
        <f t="shared" si="686"/>
        <v>1.0505260005738482E-2</v>
      </c>
      <c r="BE374" s="106">
        <f t="shared" si="686"/>
        <v>6.430043867909796E-2</v>
      </c>
      <c r="BF374" s="106">
        <f t="shared" si="686"/>
        <v>0.14162992143291175</v>
      </c>
      <c r="BG374" s="106">
        <f t="shared" si="686"/>
        <v>0.16452470499442429</v>
      </c>
      <c r="BH374" s="164" t="str">
        <f>+IFERROR(BH367/BD367-1,"n/a")</f>
        <v>n/a</v>
      </c>
      <c r="BI374" s="164" t="str">
        <f>+IFERROR(BI367/BE367-1,"n/a")</f>
        <v>n/a</v>
      </c>
      <c r="BJ374" s="164" t="str">
        <f>+IFERROR(BJ367/BF367-1,"n/a")</f>
        <v>n/a</v>
      </c>
      <c r="BK374" s="106"/>
      <c r="BL374" s="106"/>
      <c r="BM374" s="106"/>
      <c r="BN374" s="106"/>
      <c r="BO374" s="106"/>
      <c r="BP374" s="106"/>
      <c r="BQ374" s="106"/>
      <c r="BR374" s="106"/>
      <c r="BS374" s="106"/>
      <c r="BT374" s="106"/>
      <c r="BU374" s="106">
        <f t="shared" ref="BU374:CG374" si="687">+BU367/BT367-1</f>
        <v>0.35832662840593388</v>
      </c>
      <c r="BV374" s="106">
        <f t="shared" si="687"/>
        <v>0.20047914360336661</v>
      </c>
      <c r="BW374" s="106">
        <f t="shared" si="687"/>
        <v>0.37647826032083209</v>
      </c>
      <c r="BX374" s="106">
        <f t="shared" si="687"/>
        <v>0.53460645316199495</v>
      </c>
      <c r="BY374" s="106">
        <f t="shared" si="687"/>
        <v>0.45777095125881773</v>
      </c>
      <c r="BZ374" s="106">
        <f t="shared" si="687"/>
        <v>0.48802204586745446</v>
      </c>
      <c r="CA374" s="106">
        <f t="shared" si="687"/>
        <v>0.35626282935910525</v>
      </c>
      <c r="CB374" s="106">
        <f t="shared" si="687"/>
        <v>0.32721484597204564</v>
      </c>
      <c r="CC374" s="106">
        <f t="shared" si="687"/>
        <v>0.24494577399937034</v>
      </c>
      <c r="CD374" s="106">
        <f t="shared" si="687"/>
        <v>0.17546486252480342</v>
      </c>
      <c r="CE374" s="106">
        <f t="shared" si="687"/>
        <v>0.30507276400729655</v>
      </c>
      <c r="CF374" s="106">
        <f t="shared" si="687"/>
        <v>-3.4531982305023967E-2</v>
      </c>
      <c r="CG374" s="106">
        <f t="shared" si="687"/>
        <v>9.8671577906224828E-2</v>
      </c>
      <c r="CH374" s="106"/>
      <c r="CI374" s="106"/>
    </row>
    <row r="375" spans="2:87" x14ac:dyDescent="0.2">
      <c r="B375" s="60" t="s">
        <v>215</v>
      </c>
      <c r="E375" s="76"/>
      <c r="F375" s="76"/>
      <c r="G375" s="76"/>
      <c r="H375" s="106">
        <f t="shared" si="682"/>
        <v>0.58406575520833326</v>
      </c>
      <c r="I375" s="106">
        <f t="shared" si="682"/>
        <v>0.49173189181072496</v>
      </c>
      <c r="J375" s="106">
        <f t="shared" si="682"/>
        <v>0.58939712522836163</v>
      </c>
      <c r="K375" s="106">
        <f t="shared" si="682"/>
        <v>0.28797145769622823</v>
      </c>
      <c r="L375" s="106">
        <f t="shared" si="682"/>
        <v>0.1752323368043891</v>
      </c>
      <c r="M375" s="106">
        <f t="shared" si="682"/>
        <v>7.1400187441424734E-2</v>
      </c>
      <c r="N375" s="106">
        <f t="shared" si="682"/>
        <v>2.0337226176490919E-2</v>
      </c>
      <c r="O375" s="106">
        <f t="shared" si="682"/>
        <v>6.7074813800834354E-2</v>
      </c>
      <c r="P375" s="106">
        <f t="shared" si="682"/>
        <v>0.13877128393925453</v>
      </c>
      <c r="Q375" s="106">
        <f t="shared" si="682"/>
        <v>0.30845789749233377</v>
      </c>
      <c r="R375" s="106">
        <f t="shared" si="683"/>
        <v>0.43663976710833308</v>
      </c>
      <c r="S375" s="106">
        <f t="shared" si="683"/>
        <v>0.52198598892147285</v>
      </c>
      <c r="T375" s="106">
        <f t="shared" si="683"/>
        <v>0.53163335858868122</v>
      </c>
      <c r="U375" s="106">
        <f t="shared" si="683"/>
        <v>0.51934697772703253</v>
      </c>
      <c r="V375" s="106">
        <f t="shared" si="683"/>
        <v>0.46205396656803988</v>
      </c>
      <c r="W375" s="106">
        <f t="shared" si="683"/>
        <v>0.32422774118183773</v>
      </c>
      <c r="X375" s="106">
        <f t="shared" si="683"/>
        <v>0.22169544563414267</v>
      </c>
      <c r="Y375" s="106">
        <f t="shared" si="683"/>
        <v>0.18314834888616582</v>
      </c>
      <c r="Z375" s="106">
        <f t="shared" si="683"/>
        <v>0.20750874430295418</v>
      </c>
      <c r="AA375" s="106">
        <f t="shared" si="683"/>
        <v>0.3227500989134735</v>
      </c>
      <c r="AB375" s="106">
        <f t="shared" si="684"/>
        <v>0.33410336306006228</v>
      </c>
      <c r="AC375" s="106">
        <f t="shared" si="684"/>
        <v>0.40772059721741161</v>
      </c>
      <c r="AD375" s="106">
        <f t="shared" si="684"/>
        <v>0.36179181349959344</v>
      </c>
      <c r="AE375" s="106">
        <f t="shared" si="684"/>
        <v>0.30948736502282093</v>
      </c>
      <c r="AF375" s="106">
        <f t="shared" si="684"/>
        <v>0.36009081202976412</v>
      </c>
      <c r="AG375" s="106">
        <f t="shared" si="684"/>
        <v>0.32932340128480431</v>
      </c>
      <c r="AH375" s="106">
        <f t="shared" si="684"/>
        <v>0.45185108690039755</v>
      </c>
      <c r="AI375" s="106">
        <f t="shared" si="684"/>
        <v>0.48164886422864539</v>
      </c>
      <c r="AJ375" s="106">
        <f t="shared" si="684"/>
        <v>0.49982818412758645</v>
      </c>
      <c r="AK375" s="106">
        <f t="shared" si="684"/>
        <v>0.3965120783591769</v>
      </c>
      <c r="AL375" s="106">
        <f t="shared" si="685"/>
        <v>0.28734010973411239</v>
      </c>
      <c r="AM375" s="106">
        <f t="shared" si="685"/>
        <v>0.240062678062678</v>
      </c>
      <c r="AN375" s="106">
        <f t="shared" si="685"/>
        <v>0.17395179415639772</v>
      </c>
      <c r="AO375" s="106">
        <f t="shared" si="685"/>
        <v>0.21850610301200613</v>
      </c>
      <c r="AP375" s="106">
        <f t="shared" si="685"/>
        <v>0.21093228277987963</v>
      </c>
      <c r="AQ375" s="106">
        <f t="shared" si="685"/>
        <v>0.20304966391943569</v>
      </c>
      <c r="AR375" s="106">
        <f t="shared" si="685"/>
        <v>0.11448972602739715</v>
      </c>
      <c r="AS375" s="106">
        <f t="shared" si="685"/>
        <v>3.2536779618150602E-2</v>
      </c>
      <c r="AT375" s="106">
        <f t="shared" si="685"/>
        <v>0.16093919598167616</v>
      </c>
      <c r="AU375" s="106">
        <f t="shared" si="685"/>
        <v>0.27568117516811541</v>
      </c>
      <c r="AV375" s="106">
        <f t="shared" si="686"/>
        <v>0.45689344219273287</v>
      </c>
      <c r="AW375" s="106">
        <f t="shared" si="686"/>
        <v>0.56311706461817668</v>
      </c>
      <c r="AX375" s="106">
        <f t="shared" si="686"/>
        <v>0.33032799153642189</v>
      </c>
      <c r="AY375" s="106">
        <f t="shared" si="686"/>
        <v>0.16674201045416037</v>
      </c>
      <c r="AZ375" s="106">
        <f t="shared" si="686"/>
        <v>-9.202394440427919E-3</v>
      </c>
      <c r="BA375" s="106">
        <f t="shared" si="686"/>
        <v>-9.3153932724771793E-2</v>
      </c>
      <c r="BB375" s="106">
        <f t="shared" si="686"/>
        <v>-0.13786330176904105</v>
      </c>
      <c r="BC375" s="106">
        <f t="shared" si="686"/>
        <v>-0.12016743613781034</v>
      </c>
      <c r="BD375" s="106">
        <f t="shared" si="686"/>
        <v>1.0550653768470308E-2</v>
      </c>
      <c r="BE375" s="106">
        <f t="shared" si="686"/>
        <v>0.14191761299200101</v>
      </c>
      <c r="BF375" s="106">
        <f t="shared" si="686"/>
        <v>0.3382718744701656</v>
      </c>
      <c r="BG375" s="106">
        <f t="shared" si="686"/>
        <v>0.33750782227784715</v>
      </c>
      <c r="BH375" s="164" t="str">
        <f t="shared" ref="BH375:BJ378" si="688">+IFERROR(BH368/BD368-1,"n/a")</f>
        <v>n/a</v>
      </c>
      <c r="BI375" s="164" t="str">
        <f t="shared" si="688"/>
        <v>n/a</v>
      </c>
      <c r="BJ375" s="164" t="str">
        <f t="shared" si="688"/>
        <v>n/a</v>
      </c>
      <c r="BK375" s="106"/>
      <c r="BL375" s="106"/>
      <c r="BM375" s="106"/>
      <c r="BN375" s="106"/>
      <c r="BO375" s="106"/>
      <c r="BP375" s="106"/>
      <c r="BQ375" s="106"/>
      <c r="BR375" s="106"/>
      <c r="BS375" s="106"/>
      <c r="BT375" s="106"/>
      <c r="BU375" s="106">
        <f t="shared" ref="BU375:CG375" si="689">+BU368/BT368-1</f>
        <v>0.46441748864327481</v>
      </c>
      <c r="BV375" s="106">
        <f t="shared" si="689"/>
        <v>8.0269974787385845E-2</v>
      </c>
      <c r="BW375" s="106">
        <f t="shared" si="689"/>
        <v>0.35973547630607094</v>
      </c>
      <c r="BX375" s="106">
        <f t="shared" si="689"/>
        <v>0.44448593750493548</v>
      </c>
      <c r="BY375" s="106">
        <f t="shared" si="689"/>
        <v>0.23881505376896928</v>
      </c>
      <c r="BZ375" s="106">
        <f t="shared" si="689"/>
        <v>0.35015266057461614</v>
      </c>
      <c r="CA375" s="106">
        <f t="shared" si="689"/>
        <v>0.41235901370884953</v>
      </c>
      <c r="CB375" s="106">
        <f t="shared" si="689"/>
        <v>0.33909514636970872</v>
      </c>
      <c r="CC375" s="106">
        <f t="shared" si="689"/>
        <v>0.20219366131603267</v>
      </c>
      <c r="CD375" s="106">
        <f t="shared" si="689"/>
        <v>0.1541505924304809</v>
      </c>
      <c r="CE375" s="106">
        <f t="shared" si="689"/>
        <v>0.35306127262755815</v>
      </c>
      <c r="CF375" s="106">
        <f t="shared" si="689"/>
        <v>-9.2691878003262507E-2</v>
      </c>
      <c r="CG375" s="106">
        <f t="shared" si="689"/>
        <v>0.20846440088057427</v>
      </c>
      <c r="CH375" s="106"/>
      <c r="CI375" s="106"/>
    </row>
    <row r="376" spans="2:87" x14ac:dyDescent="0.2">
      <c r="B376" s="60" t="s">
        <v>216</v>
      </c>
      <c r="E376" s="76"/>
      <c r="F376" s="76"/>
      <c r="G376" s="76"/>
      <c r="H376" s="106">
        <f t="shared" si="682"/>
        <v>0.37074829931972797</v>
      </c>
      <c r="I376" s="106">
        <f t="shared" si="682"/>
        <v>0.41876832844574774</v>
      </c>
      <c r="J376" s="106">
        <f t="shared" si="682"/>
        <v>0.58772826880934992</v>
      </c>
      <c r="K376" s="106">
        <f t="shared" si="682"/>
        <v>0.21978532792427319</v>
      </c>
      <c r="L376" s="106">
        <f t="shared" si="682"/>
        <v>0.25459279618110786</v>
      </c>
      <c r="M376" s="106">
        <f t="shared" si="682"/>
        <v>0.11102798144545867</v>
      </c>
      <c r="N376" s="106">
        <f t="shared" si="682"/>
        <v>2.9858299595141746E-2</v>
      </c>
      <c r="O376" s="106">
        <f t="shared" si="682"/>
        <v>0.22168620037807174</v>
      </c>
      <c r="P376" s="106">
        <f t="shared" si="682"/>
        <v>0.20679614317501316</v>
      </c>
      <c r="Q376" s="106">
        <f t="shared" si="682"/>
        <v>0.35970955758189804</v>
      </c>
      <c r="R376" s="106">
        <f t="shared" si="683"/>
        <v>0.39183135704874839</v>
      </c>
      <c r="S376" s="106">
        <f t="shared" si="683"/>
        <v>0.37729871735435028</v>
      </c>
      <c r="T376" s="106">
        <f t="shared" si="683"/>
        <v>0.46269236435717809</v>
      </c>
      <c r="U376" s="106">
        <f t="shared" si="683"/>
        <v>0.43521255060728725</v>
      </c>
      <c r="V376" s="106">
        <f t="shared" si="683"/>
        <v>0.4607070324601561</v>
      </c>
      <c r="W376" s="106">
        <f t="shared" si="683"/>
        <v>0.33498449937159602</v>
      </c>
      <c r="X376" s="106">
        <f t="shared" si="683"/>
        <v>0.26147138295259165</v>
      </c>
      <c r="Y376" s="106">
        <f t="shared" si="683"/>
        <v>0.1964619870055202</v>
      </c>
      <c r="Z376" s="106">
        <f t="shared" si="683"/>
        <v>0.1845856216674262</v>
      </c>
      <c r="AA376" s="106">
        <f t="shared" si="683"/>
        <v>0.26175240744740003</v>
      </c>
      <c r="AB376" s="106">
        <f t="shared" si="684"/>
        <v>0.32294162001294491</v>
      </c>
      <c r="AC376" s="106">
        <f t="shared" si="684"/>
        <v>0.3731852116756349</v>
      </c>
      <c r="AD376" s="106">
        <f t="shared" si="684"/>
        <v>0.3557039537293416</v>
      </c>
      <c r="AE376" s="106">
        <f t="shared" si="684"/>
        <v>0.29695560893255646</v>
      </c>
      <c r="AF376" s="106">
        <f t="shared" si="684"/>
        <v>0.27013040812883471</v>
      </c>
      <c r="AG376" s="106">
        <f t="shared" si="684"/>
        <v>0.20420334040296928</v>
      </c>
      <c r="AH376" s="106">
        <f t="shared" si="684"/>
        <v>0.20140884441214291</v>
      </c>
      <c r="AI376" s="106">
        <f t="shared" si="684"/>
        <v>0.22519306898565783</v>
      </c>
      <c r="AJ376" s="106">
        <f t="shared" si="684"/>
        <v>0.24179316979316989</v>
      </c>
      <c r="AK376" s="106">
        <f t="shared" si="684"/>
        <v>0.22966517014178556</v>
      </c>
      <c r="AL376" s="106">
        <f t="shared" si="685"/>
        <v>0.17780859394608695</v>
      </c>
      <c r="AM376" s="106">
        <f t="shared" si="685"/>
        <v>0.16600468580314209</v>
      </c>
      <c r="AN376" s="106">
        <f t="shared" si="685"/>
        <v>0.13162367466974634</v>
      </c>
      <c r="AO376" s="106">
        <f t="shared" si="685"/>
        <v>0.1582739637305699</v>
      </c>
      <c r="AP376" s="106">
        <f t="shared" si="685"/>
        <v>0.21172179131768298</v>
      </c>
      <c r="AQ376" s="106">
        <f t="shared" si="685"/>
        <v>0.20726476657484949</v>
      </c>
      <c r="AR376" s="106">
        <f t="shared" si="685"/>
        <v>9.8708703696121836E-2</v>
      </c>
      <c r="AS376" s="106">
        <f t="shared" si="685"/>
        <v>-1.5341467834849909E-2</v>
      </c>
      <c r="AT376" s="106">
        <f t="shared" si="685"/>
        <v>0.13095664379735616</v>
      </c>
      <c r="AU376" s="106">
        <f t="shared" si="685"/>
        <v>0.13414338825931837</v>
      </c>
      <c r="AV376" s="106">
        <f t="shared" si="686"/>
        <v>0.28998010808148833</v>
      </c>
      <c r="AW376" s="106">
        <f t="shared" si="686"/>
        <v>0.39154693703479992</v>
      </c>
      <c r="AX376" s="106">
        <f t="shared" si="686"/>
        <v>0.17171301370563419</v>
      </c>
      <c r="AY376" s="106">
        <f t="shared" si="686"/>
        <v>0.20538493963059712</v>
      </c>
      <c r="AZ376" s="106">
        <f t="shared" si="686"/>
        <v>0.13436422870372433</v>
      </c>
      <c r="BA376" s="106">
        <f t="shared" si="686"/>
        <v>9.1531784502509428E-2</v>
      </c>
      <c r="BB376" s="106">
        <f t="shared" si="686"/>
        <v>2.8841676312885811E-2</v>
      </c>
      <c r="BC376" s="106">
        <f t="shared" si="686"/>
        <v>-5.617929797971899E-2</v>
      </c>
      <c r="BD376" s="106">
        <f t="shared" si="686"/>
        <v>1.0953100787551406E-2</v>
      </c>
      <c r="BE376" s="106">
        <f t="shared" si="686"/>
        <v>7.345110373019792E-2</v>
      </c>
      <c r="BF376" s="106">
        <f t="shared" si="686"/>
        <v>0.15879262374272107</v>
      </c>
      <c r="BG376" s="106">
        <f t="shared" si="686"/>
        <v>0.19607092146939964</v>
      </c>
      <c r="BH376" s="164" t="str">
        <f t="shared" si="688"/>
        <v>n/a</v>
      </c>
      <c r="BI376" s="164" t="str">
        <f t="shared" si="688"/>
        <v>n/a</v>
      </c>
      <c r="BJ376" s="164" t="str">
        <f t="shared" si="688"/>
        <v>n/a</v>
      </c>
      <c r="BK376" s="106"/>
      <c r="BL376" s="106"/>
      <c r="BM376" s="106"/>
      <c r="BN376" s="106"/>
      <c r="BO376" s="106"/>
      <c r="BP376" s="106"/>
      <c r="BQ376" s="106"/>
      <c r="BR376" s="106"/>
      <c r="BS376" s="106"/>
      <c r="BT376" s="106"/>
      <c r="BU376" s="106">
        <f t="shared" ref="BU376:CG376" si="690">+BU369/BT369-1</f>
        <v>0.38694581780462234</v>
      </c>
      <c r="BV376" s="106">
        <f t="shared" si="690"/>
        <v>0.14883513007031923</v>
      </c>
      <c r="BW376" s="106">
        <f t="shared" si="690"/>
        <v>0.33833674554419102</v>
      </c>
      <c r="BX376" s="106">
        <f t="shared" si="690"/>
        <v>0.41708755473231052</v>
      </c>
      <c r="BY376" s="106">
        <f t="shared" si="690"/>
        <v>0.22551312128968815</v>
      </c>
      <c r="BZ376" s="106">
        <f t="shared" si="690"/>
        <v>0.33556826641752324</v>
      </c>
      <c r="CA376" s="106">
        <f t="shared" si="690"/>
        <v>0.22353782796692623</v>
      </c>
      <c r="CB376" s="106">
        <f t="shared" si="690"/>
        <v>0.20104010186145382</v>
      </c>
      <c r="CC376" s="106">
        <f t="shared" si="690"/>
        <v>0.17903611750130355</v>
      </c>
      <c r="CD376" s="106">
        <f t="shared" si="690"/>
        <v>8.9595333176341052E-2</v>
      </c>
      <c r="CE376" s="106">
        <f t="shared" si="690"/>
        <v>0.25563705122745417</v>
      </c>
      <c r="CF376" s="106">
        <f t="shared" si="690"/>
        <v>4.3971920386221441E-2</v>
      </c>
      <c r="CG376" s="106">
        <f t="shared" si="690"/>
        <v>0.11019348405729223</v>
      </c>
      <c r="CH376" s="106"/>
      <c r="CI376" s="106"/>
    </row>
    <row r="377" spans="2:87" ht="13.5" x14ac:dyDescent="0.35">
      <c r="B377" s="60" t="s">
        <v>217</v>
      </c>
      <c r="E377" s="76"/>
      <c r="F377" s="76"/>
      <c r="G377" s="76"/>
      <c r="H377" s="108">
        <f t="shared" si="682"/>
        <v>0.82940868655154376</v>
      </c>
      <c r="I377" s="108">
        <f t="shared" si="682"/>
        <v>0.60240486257928128</v>
      </c>
      <c r="J377" s="108">
        <f t="shared" si="682"/>
        <v>0.79200000000000004</v>
      </c>
      <c r="K377" s="108">
        <f t="shared" si="682"/>
        <v>0.22695951765719191</v>
      </c>
      <c r="L377" s="108">
        <f t="shared" si="682"/>
        <v>0.18307123034227546</v>
      </c>
      <c r="M377" s="108">
        <f t="shared" si="682"/>
        <v>0.13095342003433119</v>
      </c>
      <c r="N377" s="108">
        <f t="shared" si="682"/>
        <v>0.16906474820143869</v>
      </c>
      <c r="O377" s="108">
        <f t="shared" si="682"/>
        <v>0.38482800982800969</v>
      </c>
      <c r="P377" s="108">
        <f t="shared" si="682"/>
        <v>0.36127657249029999</v>
      </c>
      <c r="Q377" s="108">
        <f t="shared" si="682"/>
        <v>0.43682362687214815</v>
      </c>
      <c r="R377" s="108">
        <f t="shared" si="683"/>
        <v>0.43569491157643481</v>
      </c>
      <c r="S377" s="108">
        <f t="shared" si="683"/>
        <v>0.49183635435488982</v>
      </c>
      <c r="T377" s="108">
        <f t="shared" si="683"/>
        <v>0.39491308355562071</v>
      </c>
      <c r="U377" s="108">
        <f t="shared" si="683"/>
        <v>0.36028495206141731</v>
      </c>
      <c r="V377" s="108">
        <f t="shared" si="683"/>
        <v>0.26089212663482653</v>
      </c>
      <c r="W377" s="108">
        <f t="shared" si="683"/>
        <v>0.1147973602746033</v>
      </c>
      <c r="X377" s="108">
        <f t="shared" si="683"/>
        <v>0.13288698691261391</v>
      </c>
      <c r="Y377" s="108">
        <f t="shared" si="683"/>
        <v>4.379872961684117E-2</v>
      </c>
      <c r="Z377" s="108">
        <f t="shared" si="683"/>
        <v>0.10762516711525216</v>
      </c>
      <c r="AA377" s="108">
        <f t="shared" si="683"/>
        <v>0.17174663288703051</v>
      </c>
      <c r="AB377" s="108">
        <f t="shared" si="684"/>
        <v>0.13996605831896503</v>
      </c>
      <c r="AC377" s="108">
        <f t="shared" si="684"/>
        <v>0.25466936616991376</v>
      </c>
      <c r="AD377" s="108">
        <f t="shared" si="684"/>
        <v>0.2895267249021809</v>
      </c>
      <c r="AE377" s="108">
        <f t="shared" si="684"/>
        <v>0.27778556732454462</v>
      </c>
      <c r="AF377" s="108">
        <f t="shared" si="684"/>
        <v>0.39153036166223232</v>
      </c>
      <c r="AG377" s="108">
        <f t="shared" si="684"/>
        <v>0.31435124442125417</v>
      </c>
      <c r="AH377" s="108">
        <f t="shared" si="684"/>
        <v>0.31060425398463964</v>
      </c>
      <c r="AI377" s="108">
        <f t="shared" si="684"/>
        <v>0.32365090533247898</v>
      </c>
      <c r="AJ377" s="108">
        <f t="shared" si="684"/>
        <v>0.32814379369749225</v>
      </c>
      <c r="AK377" s="108">
        <f t="shared" si="684"/>
        <v>0.28705459098644703</v>
      </c>
      <c r="AL377" s="108">
        <f t="shared" si="685"/>
        <v>0.14619153344307567</v>
      </c>
      <c r="AM377" s="108">
        <f t="shared" si="685"/>
        <v>0.1370520345675823</v>
      </c>
      <c r="AN377" s="108">
        <f t="shared" si="685"/>
        <v>0.1283758717910668</v>
      </c>
      <c r="AO377" s="108">
        <f t="shared" si="685"/>
        <v>0.11610061105584757</v>
      </c>
      <c r="AP377" s="108">
        <f t="shared" si="685"/>
        <v>0.23321231179721758</v>
      </c>
      <c r="AQ377" s="108">
        <f t="shared" si="685"/>
        <v>0.17433453550670763</v>
      </c>
      <c r="AR377" s="108">
        <f t="shared" si="685"/>
        <v>5.3834176917338716E-2</v>
      </c>
      <c r="AS377" s="108">
        <f t="shared" si="685"/>
        <v>-0.16300700638050036</v>
      </c>
      <c r="AT377" s="108">
        <f t="shared" si="685"/>
        <v>-7.2848072454300139E-3</v>
      </c>
      <c r="AU377" s="108">
        <f t="shared" si="685"/>
        <v>0.11716894454928428</v>
      </c>
      <c r="AV377" s="108">
        <f t="shared" si="686"/>
        <v>0.32181571115611951</v>
      </c>
      <c r="AW377" s="108">
        <f t="shared" si="686"/>
        <v>0.70874032041837132</v>
      </c>
      <c r="AX377" s="108">
        <f t="shared" si="686"/>
        <v>0.41118927884995138</v>
      </c>
      <c r="AY377" s="108">
        <f t="shared" si="686"/>
        <v>0.2349028919472369</v>
      </c>
      <c r="AZ377" s="108">
        <f t="shared" si="686"/>
        <v>0.19295178497819387</v>
      </c>
      <c r="BA377" s="108">
        <f t="shared" si="686"/>
        <v>0.10145075454609387</v>
      </c>
      <c r="BB377" s="108">
        <f t="shared" si="686"/>
        <v>2.3754938444344287E-2</v>
      </c>
      <c r="BC377" s="108">
        <f t="shared" si="686"/>
        <v>2.6672673812007996E-2</v>
      </c>
      <c r="BD377" s="108">
        <f t="shared" si="686"/>
        <v>6.4991631628362745E-2</v>
      </c>
      <c r="BE377" s="108">
        <f t="shared" si="686"/>
        <v>0.12156349237660646</v>
      </c>
      <c r="BF377" s="108">
        <f t="shared" si="686"/>
        <v>0.31344432882414175</v>
      </c>
      <c r="BG377" s="108">
        <f t="shared" si="686"/>
        <v>0.28043755731912134</v>
      </c>
      <c r="BH377" s="134" t="str">
        <f t="shared" si="688"/>
        <v>n/a</v>
      </c>
      <c r="BI377" s="134" t="str">
        <f t="shared" si="688"/>
        <v>n/a</v>
      </c>
      <c r="BJ377" s="134" t="str">
        <f t="shared" si="688"/>
        <v>n/a</v>
      </c>
      <c r="BK377" s="108"/>
      <c r="BL377" s="108"/>
      <c r="BM377" s="108"/>
      <c r="BN377" s="108"/>
      <c r="BO377" s="108"/>
      <c r="BP377" s="108"/>
      <c r="BQ377" s="108"/>
      <c r="BR377" s="108"/>
      <c r="BS377" s="108"/>
      <c r="BT377" s="108"/>
      <c r="BU377" s="108">
        <f t="shared" ref="BU377:CG377" si="691">+BU370/BT370-1</f>
        <v>0.5575162891507941</v>
      </c>
      <c r="BV377" s="108">
        <f t="shared" si="691"/>
        <v>0.22035457465523711</v>
      </c>
      <c r="BW377" s="108">
        <f t="shared" si="691"/>
        <v>0.43820283124059745</v>
      </c>
      <c r="BX377" s="108">
        <f t="shared" si="691"/>
        <v>0.26371894428666365</v>
      </c>
      <c r="BY377" s="108">
        <f t="shared" si="691"/>
        <v>0.11448321766697345</v>
      </c>
      <c r="BZ377" s="108">
        <f t="shared" si="691"/>
        <v>0.24576013467380653</v>
      </c>
      <c r="CA377" s="108">
        <f t="shared" si="691"/>
        <v>0.33125700344638243</v>
      </c>
      <c r="CB377" s="108">
        <f t="shared" si="691"/>
        <v>0.21431267503439</v>
      </c>
      <c r="CC377" s="108">
        <f t="shared" si="691"/>
        <v>0.16352347803391831</v>
      </c>
      <c r="CD377" s="108">
        <f t="shared" si="691"/>
        <v>3.3722342698647712E-3</v>
      </c>
      <c r="CE377" s="108">
        <f t="shared" si="691"/>
        <v>0.39556530507126353</v>
      </c>
      <c r="CF377" s="108">
        <f t="shared" si="691"/>
        <v>8.0329629860746099E-2</v>
      </c>
      <c r="CG377" s="108">
        <f t="shared" si="691"/>
        <v>0.19693877109459823</v>
      </c>
      <c r="CH377" s="108"/>
      <c r="CI377" s="108"/>
    </row>
    <row r="378" spans="2:87" x14ac:dyDescent="0.2">
      <c r="B378" s="101" t="s">
        <v>264</v>
      </c>
      <c r="E378" s="57"/>
      <c r="F378" s="57"/>
      <c r="G378" s="57"/>
      <c r="H378" s="106">
        <f t="shared" si="682"/>
        <v>0.30187877356899517</v>
      </c>
      <c r="I378" s="106">
        <f t="shared" si="682"/>
        <v>0.3375485824630593</v>
      </c>
      <c r="J378" s="106">
        <f t="shared" si="682"/>
        <v>0.37073927317381505</v>
      </c>
      <c r="K378" s="106">
        <f t="shared" si="682"/>
        <v>8.9150474638148181E-2</v>
      </c>
      <c r="L378" s="106">
        <f t="shared" si="682"/>
        <v>6.8506008652961636E-2</v>
      </c>
      <c r="M378" s="106">
        <f t="shared" si="682"/>
        <v>1.1423617800038643E-2</v>
      </c>
      <c r="N378" s="106">
        <f t="shared" si="682"/>
        <v>3.6975062882396603E-2</v>
      </c>
      <c r="O378" s="106">
        <f t="shared" si="682"/>
        <v>0.11746347267098778</v>
      </c>
      <c r="P378" s="106">
        <f t="shared" si="682"/>
        <v>0.11085568861961903</v>
      </c>
      <c r="Q378" s="106">
        <f t="shared" si="682"/>
        <v>0.25474613686534209</v>
      </c>
      <c r="R378" s="106">
        <f t="shared" si="683"/>
        <v>0.33712672338722327</v>
      </c>
      <c r="S378" s="106">
        <f t="shared" si="683"/>
        <v>0.39262304928238656</v>
      </c>
      <c r="T378" s="106">
        <f t="shared" si="683"/>
        <v>0.48500318136754395</v>
      </c>
      <c r="U378" s="106">
        <f t="shared" si="683"/>
        <v>0.40204151828855705</v>
      </c>
      <c r="V378" s="106">
        <f t="shared" si="683"/>
        <v>0.39584820684895661</v>
      </c>
      <c r="W378" s="106">
        <f t="shared" si="683"/>
        <v>0.31119580880306374</v>
      </c>
      <c r="X378" s="106">
        <f t="shared" si="683"/>
        <v>0.25023494431967674</v>
      </c>
      <c r="Y378" s="106">
        <f t="shared" si="683"/>
        <v>0.22882494392798391</v>
      </c>
      <c r="Z378" s="106">
        <f t="shared" si="683"/>
        <v>0.23531923582761416</v>
      </c>
      <c r="AA378" s="106">
        <f t="shared" si="683"/>
        <v>0.32763894151532336</v>
      </c>
      <c r="AB378" s="106">
        <f t="shared" si="684"/>
        <v>0.32712216671515737</v>
      </c>
      <c r="AC378" s="106">
        <f t="shared" si="684"/>
        <v>0.38650497759267433</v>
      </c>
      <c r="AD378" s="106">
        <f t="shared" si="684"/>
        <v>0.35090173032584482</v>
      </c>
      <c r="AE378" s="106">
        <f t="shared" si="684"/>
        <v>0.29702841143286673</v>
      </c>
      <c r="AF378" s="106">
        <f t="shared" si="684"/>
        <v>0.27577701301708868</v>
      </c>
      <c r="AG378" s="106">
        <f t="shared" si="684"/>
        <v>0.23650924735576995</v>
      </c>
      <c r="AH378" s="106">
        <f t="shared" si="684"/>
        <v>0.26401689872031753</v>
      </c>
      <c r="AI378" s="106">
        <f t="shared" si="684"/>
        <v>0.27818470624938785</v>
      </c>
      <c r="AJ378" s="106">
        <f t="shared" si="684"/>
        <v>0.30755245862696956</v>
      </c>
      <c r="AK378" s="106">
        <f t="shared" si="684"/>
        <v>0.26325100030033233</v>
      </c>
      <c r="AL378" s="106">
        <f t="shared" si="685"/>
        <v>0.203511643502581</v>
      </c>
      <c r="AM378" s="106">
        <f t="shared" si="685"/>
        <v>0.19338172312814517</v>
      </c>
      <c r="AN378" s="106">
        <f t="shared" si="685"/>
        <v>0.16044339213803127</v>
      </c>
      <c r="AO378" s="106">
        <f t="shared" si="685"/>
        <v>0.18032696351596611</v>
      </c>
      <c r="AP378" s="106">
        <f t="shared" si="685"/>
        <v>0.1910017438400804</v>
      </c>
      <c r="AQ378" s="106">
        <f t="shared" si="685"/>
        <v>0.15670884430888732</v>
      </c>
      <c r="AR378" s="106">
        <f t="shared" si="685"/>
        <v>8.3236145954037166E-2</v>
      </c>
      <c r="AS378" s="106">
        <f t="shared" si="685"/>
        <v>-3.9898842230023934E-4</v>
      </c>
      <c r="AT378" s="106">
        <f t="shared" si="685"/>
        <v>8.7285247630663365E-2</v>
      </c>
      <c r="AU378" s="106">
        <f t="shared" si="685"/>
        <v>0.18943615285717419</v>
      </c>
      <c r="AV378" s="106">
        <f t="shared" si="686"/>
        <v>0.33210590293876385</v>
      </c>
      <c r="AW378" s="106">
        <f t="shared" si="686"/>
        <v>0.435788401921821</v>
      </c>
      <c r="AX378" s="106">
        <f t="shared" si="686"/>
        <v>0.26601121400680694</v>
      </c>
      <c r="AY378" s="106">
        <f t="shared" si="686"/>
        <v>0.14053966354371417</v>
      </c>
      <c r="AZ378" s="106">
        <f t="shared" si="686"/>
        <v>3.0260092878116485E-2</v>
      </c>
      <c r="BA378" s="106">
        <f t="shared" si="686"/>
        <v>-2.9540058678715897E-2</v>
      </c>
      <c r="BB378" s="106">
        <f t="shared" si="686"/>
        <v>-5.8618244569082378E-2</v>
      </c>
      <c r="BC378" s="106">
        <f t="shared" si="686"/>
        <v>-6.0537887828621684E-2</v>
      </c>
      <c r="BD378" s="106">
        <f t="shared" si="686"/>
        <v>7.9625018216917809E-3</v>
      </c>
      <c r="BE378" s="106">
        <f t="shared" si="686"/>
        <v>8.2564802034990281E-2</v>
      </c>
      <c r="BF378" s="106">
        <f t="shared" si="686"/>
        <v>0.1941839176682878</v>
      </c>
      <c r="BG378" s="106">
        <f t="shared" si="686"/>
        <v>0.20767356594465247</v>
      </c>
      <c r="BH378" s="164" t="str">
        <f t="shared" si="688"/>
        <v>n/a</v>
      </c>
      <c r="BI378" s="164" t="str">
        <f t="shared" si="688"/>
        <v>n/a</v>
      </c>
      <c r="BJ378" s="164" t="str">
        <f t="shared" si="688"/>
        <v>n/a</v>
      </c>
      <c r="BK378" s="106"/>
      <c r="BL378" s="106"/>
      <c r="BM378" s="106"/>
      <c r="BN378" s="106"/>
      <c r="BO378" s="106"/>
      <c r="BP378" s="106"/>
      <c r="BQ378" s="106"/>
      <c r="BR378" s="106"/>
      <c r="BS378" s="106"/>
      <c r="BT378" s="106"/>
      <c r="BU378" s="106">
        <f t="shared" ref="BU378:CG378" si="692">+BU371/BT371-1</f>
        <v>0.25852934870249644</v>
      </c>
      <c r="BV378" s="106">
        <f t="shared" si="692"/>
        <v>5.9765212389984335E-2</v>
      </c>
      <c r="BW378" s="106">
        <f t="shared" si="692"/>
        <v>0.28175827526231267</v>
      </c>
      <c r="BX378" s="106">
        <f t="shared" si="692"/>
        <v>0.38832568786721122</v>
      </c>
      <c r="BY378" s="106">
        <f t="shared" si="692"/>
        <v>0.26434139245683408</v>
      </c>
      <c r="BZ378" s="106">
        <f t="shared" si="692"/>
        <v>0.33735021268729182</v>
      </c>
      <c r="CA378" s="106">
        <f t="shared" si="692"/>
        <v>0.26415895290587765</v>
      </c>
      <c r="CB378" s="106">
        <f t="shared" si="692"/>
        <v>0.23619396665440706</v>
      </c>
      <c r="CC378" s="106">
        <f t="shared" si="692"/>
        <v>0.17155639753801144</v>
      </c>
      <c r="CD378" s="106">
        <f t="shared" si="692"/>
        <v>9.5030695884979366E-2</v>
      </c>
      <c r="CE378" s="106">
        <f t="shared" si="692"/>
        <v>0.27799812130648682</v>
      </c>
      <c r="CF378" s="106">
        <f t="shared" si="692"/>
        <v>-3.1859771087389577E-2</v>
      </c>
      <c r="CG378" s="106">
        <f t="shared" si="692"/>
        <v>0.1253807539600662</v>
      </c>
      <c r="CH378" s="106"/>
      <c r="CI378" s="106"/>
    </row>
    <row r="379" spans="2:87" x14ac:dyDescent="0.2">
      <c r="B379" s="101"/>
      <c r="E379" s="57"/>
      <c r="F379" s="57"/>
      <c r="G379" s="57"/>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c r="AD379" s="106"/>
      <c r="AE379" s="106"/>
      <c r="AF379" s="106"/>
      <c r="AG379" s="106"/>
      <c r="AH379" s="106"/>
      <c r="AI379" s="106"/>
      <c r="AJ379" s="106"/>
      <c r="AK379" s="106"/>
      <c r="AL379" s="106"/>
      <c r="AM379" s="106"/>
      <c r="AN379" s="106"/>
      <c r="AO379" s="106"/>
      <c r="AP379" s="106"/>
      <c r="AQ379" s="106"/>
      <c r="AR379" s="106"/>
      <c r="AS379" s="106"/>
      <c r="AT379" s="106"/>
      <c r="AU379" s="106"/>
      <c r="AV379" s="106"/>
      <c r="AW379" s="106"/>
      <c r="AX379" s="106"/>
      <c r="AY379" s="106"/>
      <c r="AZ379" s="106"/>
      <c r="BA379" s="106"/>
      <c r="BB379" s="106"/>
      <c r="BC379" s="106"/>
      <c r="BD379" s="106"/>
      <c r="BE379" s="106"/>
      <c r="BF379" s="106"/>
      <c r="BG379" s="106"/>
      <c r="BH379" s="106"/>
      <c r="BI379" s="106"/>
      <c r="BJ379" s="106"/>
      <c r="BK379" s="106"/>
      <c r="BL379" s="106"/>
      <c r="BM379" s="106"/>
      <c r="BN379" s="106"/>
      <c r="BO379" s="106"/>
      <c r="BP379" s="106"/>
      <c r="BQ379" s="106"/>
      <c r="BR379" s="106"/>
      <c r="BS379" s="106"/>
      <c r="BT379" s="106"/>
      <c r="BU379" s="106"/>
      <c r="BV379" s="106"/>
      <c r="BW379" s="106"/>
      <c r="BX379" s="106"/>
      <c r="BY379" s="106"/>
      <c r="BZ379" s="106"/>
      <c r="CA379" s="106"/>
      <c r="CB379" s="106"/>
      <c r="CC379" s="106"/>
      <c r="CD379" s="106"/>
      <c r="CE379" s="68"/>
      <c r="CF379" s="68"/>
      <c r="CG379" s="68"/>
      <c r="CH379" s="68"/>
      <c r="CI379" s="68"/>
    </row>
    <row r="380" spans="2:87" x14ac:dyDescent="0.2">
      <c r="B380" s="54" t="s">
        <v>271</v>
      </c>
      <c r="E380" s="57"/>
      <c r="F380" s="57"/>
      <c r="G380" s="57"/>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c r="AD380" s="106"/>
      <c r="AE380" s="106"/>
      <c r="AF380" s="106"/>
      <c r="AG380" s="106"/>
      <c r="AH380" s="106"/>
      <c r="AI380" s="106"/>
      <c r="AJ380" s="106"/>
      <c r="AK380" s="106"/>
      <c r="AL380" s="106"/>
      <c r="AM380" s="106"/>
      <c r="AN380" s="106"/>
      <c r="AO380" s="106"/>
      <c r="AP380" s="106"/>
      <c r="AQ380" s="106"/>
      <c r="AR380" s="106"/>
      <c r="AS380" s="106"/>
      <c r="AT380" s="106"/>
      <c r="AU380" s="106"/>
      <c r="AV380" s="106"/>
      <c r="AW380" s="106"/>
      <c r="AX380" s="106"/>
      <c r="AY380" s="106"/>
      <c r="AZ380" s="106"/>
      <c r="BA380" s="106"/>
      <c r="BB380" s="106"/>
      <c r="BC380" s="106"/>
      <c r="BD380" s="106"/>
      <c r="BE380" s="106"/>
      <c r="BF380" s="106"/>
      <c r="BG380" s="106"/>
      <c r="BH380" s="106"/>
      <c r="BI380" s="106"/>
      <c r="BJ380" s="106"/>
      <c r="BK380" s="106"/>
      <c r="BL380" s="106"/>
      <c r="BM380" s="106"/>
      <c r="BN380" s="106"/>
      <c r="BO380" s="106"/>
      <c r="BP380" s="106"/>
      <c r="BQ380" s="106"/>
      <c r="BR380" s="106"/>
      <c r="BS380" s="106"/>
      <c r="BT380" s="106"/>
      <c r="BU380" s="106"/>
      <c r="BV380" s="106"/>
      <c r="BW380" s="106"/>
      <c r="BX380" s="106"/>
      <c r="BY380" s="106"/>
      <c r="BZ380" s="106"/>
      <c r="CA380" s="106"/>
      <c r="CB380" s="106"/>
      <c r="CC380" s="106"/>
      <c r="CD380" s="106"/>
      <c r="CE380" s="68"/>
      <c r="CF380" s="68"/>
      <c r="CG380" s="68"/>
      <c r="CH380" s="68"/>
      <c r="CI380" s="68"/>
    </row>
    <row r="381" spans="2:87" x14ac:dyDescent="0.2">
      <c r="B381" t="s">
        <v>214</v>
      </c>
      <c r="D381" s="56">
        <f>+D252/AVERAGE(BS308,D308)</f>
        <v>1.7272727272727273</v>
      </c>
      <c r="E381" s="56">
        <f t="shared" ref="E381:AJ381" si="693">+E252/AVERAGE(D308:E308)</f>
        <v>1.8202247191011236</v>
      </c>
      <c r="F381" s="56">
        <f t="shared" si="693"/>
        <v>1.8505338078291815</v>
      </c>
      <c r="G381" s="56">
        <f t="shared" si="693"/>
        <v>2.4093959731543624</v>
      </c>
      <c r="H381" s="56">
        <f t="shared" si="693"/>
        <v>2.0946372239747633</v>
      </c>
      <c r="I381" s="56">
        <f t="shared" si="693"/>
        <v>2.3734939759036147</v>
      </c>
      <c r="J381" s="56">
        <f t="shared" si="693"/>
        <v>2.2898550724637681</v>
      </c>
      <c r="K381" s="56">
        <f t="shared" si="693"/>
        <v>2.6028169014084508</v>
      </c>
      <c r="L381" s="56">
        <f t="shared" si="693"/>
        <v>2.3149171270718232</v>
      </c>
      <c r="M381" s="56">
        <f t="shared" si="693"/>
        <v>2.5962059620596207</v>
      </c>
      <c r="N381" s="56">
        <f t="shared" si="693"/>
        <v>2.8693333333333335</v>
      </c>
      <c r="O381" s="56">
        <f t="shared" si="693"/>
        <v>3.3036649214659688</v>
      </c>
      <c r="P381" s="56">
        <f t="shared" si="693"/>
        <v>2.8453608247422681</v>
      </c>
      <c r="Q381" s="56">
        <f t="shared" si="693"/>
        <v>3.669211195928753</v>
      </c>
      <c r="R381" s="56">
        <f t="shared" si="693"/>
        <v>4.1914357682619645</v>
      </c>
      <c r="S381" s="56">
        <f t="shared" si="693"/>
        <v>5.34</v>
      </c>
      <c r="T381" s="56">
        <f t="shared" si="693"/>
        <v>5.1563275434243172</v>
      </c>
      <c r="U381" s="56">
        <f t="shared" si="693"/>
        <v>5.7881773399014778</v>
      </c>
      <c r="V381" s="56">
        <f t="shared" si="693"/>
        <v>6.6439024390243899</v>
      </c>
      <c r="W381" s="56">
        <f t="shared" si="693"/>
        <v>8.2560386473429954</v>
      </c>
      <c r="X381" s="56">
        <f t="shared" si="693"/>
        <v>7.6172248803827749</v>
      </c>
      <c r="Y381" s="56">
        <f t="shared" si="693"/>
        <v>8.6335697399527191</v>
      </c>
      <c r="Z381" s="56">
        <f t="shared" si="693"/>
        <v>9.8604651162790695</v>
      </c>
      <c r="AA381" s="56">
        <f t="shared" si="693"/>
        <v>13.059633027522937</v>
      </c>
      <c r="AB381" s="56">
        <f t="shared" si="693"/>
        <v>11.859410430839002</v>
      </c>
      <c r="AC381" s="56">
        <f t="shared" si="693"/>
        <v>13.736607142857142</v>
      </c>
      <c r="AD381" s="56">
        <f t="shared" si="693"/>
        <v>15.081318681318681</v>
      </c>
      <c r="AE381" s="56">
        <f t="shared" si="693"/>
        <v>19.282608695652176</v>
      </c>
      <c r="AF381" s="56">
        <f t="shared" si="693"/>
        <v>16.563440860215053</v>
      </c>
      <c r="AG381" s="56">
        <f t="shared" si="693"/>
        <v>18.936170212765958</v>
      </c>
      <c r="AH381" s="56">
        <f t="shared" si="693"/>
        <v>20.682105263157894</v>
      </c>
      <c r="AI381" s="56">
        <f t="shared" si="693"/>
        <v>26.238493723849373</v>
      </c>
      <c r="AJ381" s="56">
        <f t="shared" si="693"/>
        <v>23.162500000000001</v>
      </c>
      <c r="AK381" s="56">
        <f t="shared" ref="AK381:BG381" si="694">+AK252/AVERAGE(AJ308:AK308)</f>
        <v>25.46473029045643</v>
      </c>
      <c r="AL381" s="56">
        <f t="shared" si="694"/>
        <v>27.109730848861282</v>
      </c>
      <c r="AM381" s="56">
        <f t="shared" si="694"/>
        <v>34.074380165289256</v>
      </c>
      <c r="AN381" s="56">
        <f t="shared" si="694"/>
        <v>29.703092783505156</v>
      </c>
      <c r="AO381" s="56">
        <f t="shared" si="694"/>
        <v>32.657084188911703</v>
      </c>
      <c r="AP381" s="56">
        <f t="shared" si="694"/>
        <v>33.877800407331975</v>
      </c>
      <c r="AQ381" s="56">
        <f t="shared" si="694"/>
        <v>40.488888888888887</v>
      </c>
      <c r="AR381" s="56">
        <f t="shared" si="694"/>
        <v>33.449101796407184</v>
      </c>
      <c r="AS381" s="56">
        <f t="shared" si="694"/>
        <v>35.595284872298627</v>
      </c>
      <c r="AT381" s="56">
        <f t="shared" si="694"/>
        <v>39.091976516634048</v>
      </c>
      <c r="AU381" s="56">
        <f t="shared" si="694"/>
        <v>51.267056530214425</v>
      </c>
      <c r="AV381" s="56">
        <f t="shared" si="694"/>
        <v>46.023210831721471</v>
      </c>
      <c r="AW381" s="56">
        <f t="shared" si="694"/>
        <v>51.606177606177603</v>
      </c>
      <c r="AX381" s="56">
        <f t="shared" si="694"/>
        <v>50.361538461538458</v>
      </c>
      <c r="AY381" s="56">
        <f t="shared" si="694"/>
        <v>57.598470363288719</v>
      </c>
      <c r="AZ381" s="56">
        <f t="shared" si="694"/>
        <v>45.805714285714288</v>
      </c>
      <c r="BA381" s="56">
        <f t="shared" si="694"/>
        <v>48.531309297912713</v>
      </c>
      <c r="BB381" s="56">
        <f t="shared" si="694"/>
        <v>48.173584905660377</v>
      </c>
      <c r="BC381" s="56">
        <f t="shared" si="694"/>
        <v>56.409774436090224</v>
      </c>
      <c r="BD381" s="56">
        <f t="shared" si="694"/>
        <v>47.514018691588788</v>
      </c>
      <c r="BE381" s="56">
        <f t="shared" si="694"/>
        <v>52.434137291280152</v>
      </c>
      <c r="BF381" s="56">
        <f t="shared" si="694"/>
        <v>55.290203327171902</v>
      </c>
      <c r="BG381" s="56">
        <f t="shared" si="694"/>
        <v>65.502762430939228</v>
      </c>
      <c r="BH381" s="217" t="str">
        <f t="shared" ref="BH381:BJ385" si="695">+IFERROR(BH252/((BH308+BG308)/2),"n/a")</f>
        <v>n/a</v>
      </c>
      <c r="BI381" s="217" t="str">
        <f t="shared" si="695"/>
        <v>n/a</v>
      </c>
      <c r="BJ381" s="217" t="str">
        <f t="shared" si="695"/>
        <v>n/a</v>
      </c>
      <c r="BK381" s="56"/>
      <c r="BL381" s="56"/>
      <c r="BM381" s="56"/>
      <c r="BN381" s="56"/>
      <c r="BO381" s="56"/>
      <c r="BP381" s="106"/>
      <c r="BQ381" s="106"/>
      <c r="BR381" s="106"/>
      <c r="BS381" s="106"/>
      <c r="BT381" s="56">
        <f>+SUM(D381:G381)</f>
        <v>7.8074272273573948</v>
      </c>
      <c r="BU381" s="56">
        <f>+SUM(H381:K381)</f>
        <v>9.3608031737505968</v>
      </c>
      <c r="BV381" s="56">
        <f>+SUM(L381:O381)</f>
        <v>11.084121343930747</v>
      </c>
      <c r="BW381" s="56">
        <f>+SUM(P381:S381)</f>
        <v>16.046007788932986</v>
      </c>
      <c r="BX381" s="56">
        <f>+SUM(T381:W381)</f>
        <v>25.844445969693183</v>
      </c>
      <c r="BY381" s="56">
        <f>+SUM(X381:AA381)</f>
        <v>39.170892764137498</v>
      </c>
      <c r="BZ381" s="56">
        <f>+SUM(AB381:AE381)</f>
        <v>59.959944950666994</v>
      </c>
      <c r="CA381" s="56">
        <f>+SUM(AF381:AI381)</f>
        <v>82.420210059988278</v>
      </c>
      <c r="CB381" s="56">
        <f>+SUM(AJ381:AM381)</f>
        <v>109.81134130460697</v>
      </c>
      <c r="CC381" s="56">
        <f>+SUM(AN381:AQ381)</f>
        <v>136.72686626863771</v>
      </c>
      <c r="CD381" s="56">
        <f>+SUM(AR381:AU381)</f>
        <v>159.40341971555429</v>
      </c>
      <c r="CE381" s="56">
        <f>+SUM(AV381:AY381)</f>
        <v>205.58939726272627</v>
      </c>
      <c r="CF381" s="56">
        <f>+SUM(AZ381:BC381)</f>
        <v>198.92038292537762</v>
      </c>
      <c r="CG381" s="56">
        <f>+SUM(BD381:BG381)</f>
        <v>220.74112174098008</v>
      </c>
      <c r="CH381" s="56"/>
      <c r="CI381" s="56"/>
    </row>
    <row r="382" spans="2:87" x14ac:dyDescent="0.2">
      <c r="B382" t="s">
        <v>215</v>
      </c>
      <c r="D382" s="56">
        <f>+D253/AVERAGE(BS309,D309)</f>
        <v>0.75294117647058822</v>
      </c>
      <c r="E382" s="56">
        <f t="shared" ref="E382:AJ382" si="696">+E253/AVERAGE(D309:E309)</f>
        <v>0.88581314878892736</v>
      </c>
      <c r="F382" s="56">
        <f t="shared" si="696"/>
        <v>0.8176100628930818</v>
      </c>
      <c r="G382" s="56">
        <f t="shared" si="696"/>
        <v>1.1485714285714286</v>
      </c>
      <c r="H382" s="56">
        <f t="shared" si="696"/>
        <v>1.0729166666666667</v>
      </c>
      <c r="I382" s="56">
        <f t="shared" si="696"/>
        <v>1.1864406779661016</v>
      </c>
      <c r="J382" s="56">
        <f t="shared" si="696"/>
        <v>1.1316397228637414</v>
      </c>
      <c r="K382" s="56">
        <f t="shared" si="696"/>
        <v>1.36</v>
      </c>
      <c r="L382" s="56">
        <f t="shared" si="696"/>
        <v>1.170940170940171</v>
      </c>
      <c r="M382" s="56">
        <f t="shared" si="696"/>
        <v>1.2123711340206185</v>
      </c>
      <c r="N382" s="56">
        <f t="shared" si="696"/>
        <v>1.1823647294589179</v>
      </c>
      <c r="O382" s="56">
        <f t="shared" si="696"/>
        <v>1.4552529182879377</v>
      </c>
      <c r="P382" s="56">
        <f t="shared" si="696"/>
        <v>1.3849056603773584</v>
      </c>
      <c r="Q382" s="56">
        <f t="shared" si="696"/>
        <v>1.66728280961183</v>
      </c>
      <c r="R382" s="56">
        <f t="shared" si="696"/>
        <v>1.7591240875912408</v>
      </c>
      <c r="S382" s="56">
        <f t="shared" si="696"/>
        <v>2.3584229390681002</v>
      </c>
      <c r="T382" s="56">
        <f t="shared" si="696"/>
        <v>2.2101576182136604</v>
      </c>
      <c r="U382" s="56">
        <f t="shared" si="696"/>
        <v>2.6058519793459554</v>
      </c>
      <c r="V382" s="56">
        <f t="shared" si="696"/>
        <v>2.6632653061224492</v>
      </c>
      <c r="W382" s="56">
        <f t="shared" si="696"/>
        <v>3.2160804020100504</v>
      </c>
      <c r="X382" s="56">
        <f t="shared" si="696"/>
        <v>2.8125</v>
      </c>
      <c r="Y382" s="56">
        <f t="shared" si="696"/>
        <v>3.1941747572815533</v>
      </c>
      <c r="Z382" s="56">
        <f t="shared" si="696"/>
        <v>3.3258785942492013</v>
      </c>
      <c r="AA382" s="56">
        <f t="shared" si="696"/>
        <v>4.4294670846394988</v>
      </c>
      <c r="AB382" s="56">
        <f t="shared" si="696"/>
        <v>3.8719512195121952</v>
      </c>
      <c r="AC382" s="56">
        <f t="shared" si="696"/>
        <v>4.6050670640834577</v>
      </c>
      <c r="AD382" s="56">
        <f t="shared" si="696"/>
        <v>4.5970588235294114</v>
      </c>
      <c r="AE382" s="56">
        <f t="shared" si="696"/>
        <v>5.861070911722142</v>
      </c>
      <c r="AF382" s="56">
        <f t="shared" si="696"/>
        <v>5.317211948790896</v>
      </c>
      <c r="AG382" s="56">
        <f t="shared" si="696"/>
        <v>6.1876750700280114</v>
      </c>
      <c r="AH382" s="56">
        <f t="shared" si="696"/>
        <v>6.7237569060773481</v>
      </c>
      <c r="AI382" s="56">
        <f t="shared" si="696"/>
        <v>8.7084468664850139</v>
      </c>
      <c r="AJ382" s="56">
        <f t="shared" si="696"/>
        <v>8.0107095046854084</v>
      </c>
      <c r="AK382" s="56">
        <f t="shared" ref="AK382:BG382" si="697">+AK253/AVERAGE(AJ309:AK309)</f>
        <v>8.624169986719787</v>
      </c>
      <c r="AL382" s="56">
        <f t="shared" si="697"/>
        <v>8.697736351531292</v>
      </c>
      <c r="AM382" s="56">
        <f t="shared" si="697"/>
        <v>10.812169312169312</v>
      </c>
      <c r="AN382" s="56">
        <f t="shared" si="697"/>
        <v>9.4352941176470591</v>
      </c>
      <c r="AO382" s="56">
        <f t="shared" si="697"/>
        <v>10.514954486345903</v>
      </c>
      <c r="AP382" s="56">
        <f t="shared" si="697"/>
        <v>10.510362694300518</v>
      </c>
      <c r="AQ382" s="56">
        <f t="shared" si="697"/>
        <v>12.985915492957746</v>
      </c>
      <c r="AR382" s="56">
        <f t="shared" si="697"/>
        <v>10.4275</v>
      </c>
      <c r="AS382" s="56">
        <f t="shared" si="697"/>
        <v>10.811274509803921</v>
      </c>
      <c r="AT382" s="56">
        <f t="shared" si="697"/>
        <v>12.274605103280681</v>
      </c>
      <c r="AU382" s="56">
        <f t="shared" si="697"/>
        <v>16.39903846153846</v>
      </c>
      <c r="AV382" s="56">
        <f t="shared" si="697"/>
        <v>15.137767220902612</v>
      </c>
      <c r="AW382" s="56">
        <f t="shared" si="697"/>
        <v>17.093712930011861</v>
      </c>
      <c r="AX382" s="56">
        <f t="shared" si="697"/>
        <v>16.18268090154211</v>
      </c>
      <c r="AY382" s="56">
        <f t="shared" si="697"/>
        <v>19.23294117647059</v>
      </c>
      <c r="AZ382" s="56">
        <f t="shared" si="697"/>
        <v>15.062721893491124</v>
      </c>
      <c r="BA382" s="56">
        <f t="shared" si="697"/>
        <v>15.418181818181818</v>
      </c>
      <c r="BB382" s="56">
        <f t="shared" si="697"/>
        <v>14.004907975460123</v>
      </c>
      <c r="BC382" s="56">
        <f t="shared" si="697"/>
        <v>16.94233128834356</v>
      </c>
      <c r="BD382" s="56">
        <f t="shared" si="697"/>
        <v>15.32762836185819</v>
      </c>
      <c r="BE382" s="56">
        <f t="shared" si="697"/>
        <v>17.726829268292683</v>
      </c>
      <c r="BF382" s="56">
        <f t="shared" si="697"/>
        <v>18.900856793145653</v>
      </c>
      <c r="BG382" s="56">
        <f t="shared" si="697"/>
        <v>22.448529411764707</v>
      </c>
      <c r="BH382" s="217" t="str">
        <f t="shared" si="695"/>
        <v>n/a</v>
      </c>
      <c r="BI382" s="217" t="str">
        <f t="shared" si="695"/>
        <v>n/a</v>
      </c>
      <c r="BJ382" s="217" t="str">
        <f t="shared" si="695"/>
        <v>n/a</v>
      </c>
      <c r="BK382" s="56"/>
      <c r="BL382" s="56"/>
      <c r="BM382" s="56"/>
      <c r="BN382" s="56"/>
      <c r="BO382" s="56"/>
      <c r="BP382" s="106"/>
      <c r="BQ382" s="106"/>
      <c r="BR382" s="106"/>
      <c r="BS382" s="106"/>
      <c r="BT382" s="56">
        <f>+SUM(D382:G382)</f>
        <v>3.604935816724026</v>
      </c>
      <c r="BU382" s="56">
        <f>+SUM(H382:K382)</f>
        <v>4.7509970674965096</v>
      </c>
      <c r="BV382" s="56">
        <f>+SUM(L382:O382)</f>
        <v>5.0209289527076448</v>
      </c>
      <c r="BW382" s="56">
        <f>+SUM(P382:S382)</f>
        <v>7.1697354966485296</v>
      </c>
      <c r="BX382" s="56">
        <f>+SUM(T382:W382)</f>
        <v>10.695355305692114</v>
      </c>
      <c r="BY382" s="56">
        <f>+SUM(X382:AA382)</f>
        <v>13.762020436170253</v>
      </c>
      <c r="BZ382" s="56">
        <f>+SUM(AB382:AE382)</f>
        <v>18.935148018847205</v>
      </c>
      <c r="CA382" s="56">
        <f>+SUM(AF382:AI382)</f>
        <v>26.937090791381266</v>
      </c>
      <c r="CB382" s="56">
        <f>+SUM(AJ382:AM382)</f>
        <v>36.144785155105794</v>
      </c>
      <c r="CC382" s="56">
        <f>+SUM(AN382:AQ382)</f>
        <v>43.446526791251223</v>
      </c>
      <c r="CD382" s="56">
        <f>+SUM(AR382:AU382)</f>
        <v>49.912418074623062</v>
      </c>
      <c r="CE382" s="56">
        <f>+SUM(AV382:AY382)</f>
        <v>67.647102228927167</v>
      </c>
      <c r="CF382" s="56">
        <f>+SUM(AZ382:BC382)</f>
        <v>61.428142975476625</v>
      </c>
      <c r="CG382" s="56">
        <f>+SUM(BD382:BG382)</f>
        <v>74.403843835061238</v>
      </c>
      <c r="CH382" s="56"/>
      <c r="CI382" s="56"/>
    </row>
    <row r="383" spans="2:87" x14ac:dyDescent="0.2">
      <c r="B383" t="s">
        <v>216</v>
      </c>
      <c r="D383" s="56">
        <f>+D254/AVERAGE(BS310,D310)</f>
        <v>0.30769230769230771</v>
      </c>
      <c r="E383" s="56">
        <f t="shared" ref="E383:AJ383" si="698">+E254/AVERAGE(D310:E310)</f>
        <v>0.35028248587570621</v>
      </c>
      <c r="F383" s="56">
        <f t="shared" si="698"/>
        <v>0.34449760765550241</v>
      </c>
      <c r="G383" s="56">
        <f t="shared" si="698"/>
        <v>0.42231075697211157</v>
      </c>
      <c r="H383" s="56">
        <f t="shared" si="698"/>
        <v>0.38095238095238093</v>
      </c>
      <c r="I383" s="56">
        <f t="shared" si="698"/>
        <v>0.44848484848484849</v>
      </c>
      <c r="J383" s="56">
        <f t="shared" si="698"/>
        <v>0.4756756756756757</v>
      </c>
      <c r="K383" s="56">
        <f t="shared" si="698"/>
        <v>0.46568627450980393</v>
      </c>
      <c r="L383" s="56">
        <f t="shared" si="698"/>
        <v>0.44394618834080718</v>
      </c>
      <c r="M383" s="56">
        <f t="shared" si="698"/>
        <v>0.47034764826175868</v>
      </c>
      <c r="N383" s="56">
        <f t="shared" si="698"/>
        <v>0.5</v>
      </c>
      <c r="O383" s="56">
        <f t="shared" si="698"/>
        <v>0.58434782608695657</v>
      </c>
      <c r="P383" s="56">
        <f t="shared" si="698"/>
        <v>0.57050243111831445</v>
      </c>
      <c r="Q383" s="56">
        <f t="shared" si="698"/>
        <v>0.68389057750759874</v>
      </c>
      <c r="R383" s="56">
        <f t="shared" si="698"/>
        <v>0.73913043478260865</v>
      </c>
      <c r="S383" s="56">
        <f t="shared" si="698"/>
        <v>0.8845618915159944</v>
      </c>
      <c r="T383" s="56">
        <f t="shared" si="698"/>
        <v>0.87862796833773082</v>
      </c>
      <c r="U383" s="56">
        <f t="shared" si="698"/>
        <v>1.02</v>
      </c>
      <c r="V383" s="56">
        <f t="shared" si="698"/>
        <v>1.1220095693779903</v>
      </c>
      <c r="W383" s="56">
        <f t="shared" si="698"/>
        <v>1.2137142857142857</v>
      </c>
      <c r="X383" s="56">
        <f t="shared" si="698"/>
        <v>1.1391304347826088</v>
      </c>
      <c r="Y383" s="56">
        <f t="shared" si="698"/>
        <v>1.2519399896533885</v>
      </c>
      <c r="Z383" s="56">
        <f t="shared" si="698"/>
        <v>1.3647984267453295</v>
      </c>
      <c r="AA383" s="56">
        <f t="shared" si="698"/>
        <v>1.5694771549693829</v>
      </c>
      <c r="AB383" s="56">
        <f t="shared" si="698"/>
        <v>1.5352622061482821</v>
      </c>
      <c r="AC383" s="56">
        <f t="shared" si="698"/>
        <v>1.7426597582037997</v>
      </c>
      <c r="AD383" s="56">
        <f t="shared" si="698"/>
        <v>1.8624078624078624</v>
      </c>
      <c r="AE383" s="56">
        <f t="shared" si="698"/>
        <v>2.053763440860215</v>
      </c>
      <c r="AF383" s="56">
        <f t="shared" si="698"/>
        <v>1.9596832253419727</v>
      </c>
      <c r="AG383" s="56">
        <f t="shared" si="698"/>
        <v>2.1168478260869565</v>
      </c>
      <c r="AH383" s="56">
        <f t="shared" si="698"/>
        <v>2.2567741935483872</v>
      </c>
      <c r="AI383" s="56">
        <f t="shared" si="698"/>
        <v>2.5252774352651048</v>
      </c>
      <c r="AJ383" s="56">
        <f t="shared" si="698"/>
        <v>2.4456202233980013</v>
      </c>
      <c r="AK383" s="56">
        <f t="shared" ref="AK383:BG383" si="699">+AK254/AVERAGE(AJ310:AK310)</f>
        <v>2.5998868138087152</v>
      </c>
      <c r="AL383" s="56">
        <f t="shared" si="699"/>
        <v>2.6570955273329653</v>
      </c>
      <c r="AM383" s="56">
        <f t="shared" si="699"/>
        <v>2.9420600858369097</v>
      </c>
      <c r="AN383" s="56">
        <f t="shared" si="699"/>
        <v>2.7697095435684647</v>
      </c>
      <c r="AO383" s="56">
        <f t="shared" si="699"/>
        <v>3.0090725806451615</v>
      </c>
      <c r="AP383" s="56">
        <f t="shared" si="699"/>
        <v>3.2172619047619047</v>
      </c>
      <c r="AQ383" s="56">
        <f t="shared" si="699"/>
        <v>3.5514383227693807</v>
      </c>
      <c r="AR383" s="56">
        <f t="shared" si="699"/>
        <v>3.0370717972782733</v>
      </c>
      <c r="AS383" s="56">
        <f t="shared" si="699"/>
        <v>2.963758389261745</v>
      </c>
      <c r="AT383" s="56">
        <f t="shared" si="699"/>
        <v>3.6412478336221836</v>
      </c>
      <c r="AU383" s="56">
        <f t="shared" si="699"/>
        <v>3.9771670190274842</v>
      </c>
      <c r="AV383" s="56">
        <f t="shared" si="699"/>
        <v>3.8987237546315354</v>
      </c>
      <c r="AW383" s="56">
        <f t="shared" si="699"/>
        <v>4.129859719438878</v>
      </c>
      <c r="AX383" s="56">
        <f t="shared" si="699"/>
        <v>4.245379473063311</v>
      </c>
      <c r="AY383" s="56">
        <f t="shared" si="699"/>
        <v>4.8380281690140849</v>
      </c>
      <c r="AZ383" s="56">
        <f t="shared" si="699"/>
        <v>4.3968932038834954</v>
      </c>
      <c r="BA383" s="56">
        <f t="shared" si="699"/>
        <v>4.4850115295926214</v>
      </c>
      <c r="BB383" s="56">
        <f t="shared" si="699"/>
        <v>4.3691249522353841</v>
      </c>
      <c r="BC383" s="56">
        <f t="shared" si="699"/>
        <v>4.5487804878048781</v>
      </c>
      <c r="BD383" s="56">
        <f t="shared" si="699"/>
        <v>4.4711684370257965</v>
      </c>
      <c r="BE383" s="56">
        <f t="shared" si="699"/>
        <v>4.8148148148148149</v>
      </c>
      <c r="BF383" s="56">
        <f t="shared" si="699"/>
        <v>5.0473022912047298</v>
      </c>
      <c r="BG383" s="56">
        <f t="shared" si="699"/>
        <v>5.3715124816446398</v>
      </c>
      <c r="BH383" s="217" t="str">
        <f t="shared" si="695"/>
        <v>n/a</v>
      </c>
      <c r="BI383" s="217" t="str">
        <f t="shared" si="695"/>
        <v>n/a</v>
      </c>
      <c r="BJ383" s="217" t="str">
        <f t="shared" si="695"/>
        <v>n/a</v>
      </c>
      <c r="BK383" s="56"/>
      <c r="BL383" s="56"/>
      <c r="BM383" s="56"/>
      <c r="BN383" s="56"/>
      <c r="BO383" s="56"/>
      <c r="BP383" s="106"/>
      <c r="BQ383" s="106"/>
      <c r="BR383" s="106"/>
      <c r="BS383" s="106"/>
      <c r="BT383" s="56">
        <f>+SUM(D383:G383)</f>
        <v>1.4247831581956278</v>
      </c>
      <c r="BU383" s="56">
        <f>+SUM(H383:K383)</f>
        <v>1.7707991796227089</v>
      </c>
      <c r="BV383" s="56">
        <f>+SUM(L383:O383)</f>
        <v>1.9986416626895225</v>
      </c>
      <c r="BW383" s="56">
        <f>+SUM(P383:S383)</f>
        <v>2.8780853349245161</v>
      </c>
      <c r="BX383" s="56">
        <f>+SUM(T383:W383)</f>
        <v>4.234351823430007</v>
      </c>
      <c r="BY383" s="56">
        <f>+SUM(X383:AA383)</f>
        <v>5.3253460061507099</v>
      </c>
      <c r="BZ383" s="56">
        <f>+SUM(AB383:AE383)</f>
        <v>7.1940932676201594</v>
      </c>
      <c r="CA383" s="56">
        <f>+SUM(AF383:AI383)</f>
        <v>8.8585826802424208</v>
      </c>
      <c r="CB383" s="56">
        <f>+SUM(AJ383:AM383)</f>
        <v>10.644662650376592</v>
      </c>
      <c r="CC383" s="56">
        <f>+SUM(AN383:AQ383)</f>
        <v>12.547482351744911</v>
      </c>
      <c r="CD383" s="56">
        <f>+SUM(AR383:AU383)</f>
        <v>13.619245039189686</v>
      </c>
      <c r="CE383" s="56">
        <f>+SUM(AV383:AY383)</f>
        <v>17.111991116147809</v>
      </c>
      <c r="CF383" s="56">
        <f>+SUM(AZ383:BC383)</f>
        <v>17.799810173516377</v>
      </c>
      <c r="CG383" s="56">
        <f>+SUM(BD383:BG383)</f>
        <v>19.704798024689982</v>
      </c>
      <c r="CH383" s="56"/>
      <c r="CI383" s="56"/>
    </row>
    <row r="384" spans="2:87" ht="13.5" x14ac:dyDescent="0.35">
      <c r="B384" t="s">
        <v>217</v>
      </c>
      <c r="D384" s="69">
        <f>+D255/AVERAGE(BS311,D311)</f>
        <v>0.17105263157894737</v>
      </c>
      <c r="E384" s="69">
        <f t="shared" ref="E384:AJ384" si="700">+E255/AVERAGE(D311:E311)</f>
        <v>0.24309392265193369</v>
      </c>
      <c r="F384" s="69">
        <f t="shared" si="700"/>
        <v>0.21428571428571427</v>
      </c>
      <c r="G384" s="69">
        <f t="shared" si="700"/>
        <v>0.32432432432432434</v>
      </c>
      <c r="H384" s="69">
        <f t="shared" si="700"/>
        <v>0.29251700680272108</v>
      </c>
      <c r="I384" s="69">
        <f t="shared" si="700"/>
        <v>0.36627906976744184</v>
      </c>
      <c r="J384" s="69">
        <f t="shared" si="700"/>
        <v>0.35897435897435898</v>
      </c>
      <c r="K384" s="69">
        <f t="shared" si="700"/>
        <v>0.37037037037037035</v>
      </c>
      <c r="L384" s="69">
        <f t="shared" si="700"/>
        <v>0.34042553191489361</v>
      </c>
      <c r="M384" s="69">
        <f t="shared" si="700"/>
        <v>0.40545808966861596</v>
      </c>
      <c r="N384" s="69">
        <f t="shared" si="700"/>
        <v>0.43165467625899279</v>
      </c>
      <c r="O384" s="69">
        <f t="shared" si="700"/>
        <v>0.52702702702702697</v>
      </c>
      <c r="P384" s="69">
        <f t="shared" si="700"/>
        <v>0.47543581616481773</v>
      </c>
      <c r="Q384" s="69">
        <f t="shared" si="700"/>
        <v>0.600297176820208</v>
      </c>
      <c r="R384" s="69">
        <f t="shared" si="700"/>
        <v>0.64598025387870239</v>
      </c>
      <c r="S384" s="69">
        <f t="shared" si="700"/>
        <v>0.81190798376184037</v>
      </c>
      <c r="T384" s="69">
        <f t="shared" si="700"/>
        <v>0.67963683527885865</v>
      </c>
      <c r="U384" s="69">
        <f t="shared" si="700"/>
        <v>0.83374689826302728</v>
      </c>
      <c r="V384" s="69">
        <f t="shared" si="700"/>
        <v>0.82254196642685851</v>
      </c>
      <c r="W384" s="69">
        <f t="shared" si="700"/>
        <v>0.91734575087310821</v>
      </c>
      <c r="X384" s="69">
        <f t="shared" si="700"/>
        <v>0.77840269966254216</v>
      </c>
      <c r="Y384" s="69">
        <f t="shared" si="700"/>
        <v>0.88576069301570115</v>
      </c>
      <c r="Z384" s="69">
        <f t="shared" si="700"/>
        <v>0.92307692307692313</v>
      </c>
      <c r="AA384" s="69">
        <f t="shared" si="700"/>
        <v>1.0874562718640679</v>
      </c>
      <c r="AB384" s="69">
        <f t="shared" si="700"/>
        <v>0.89635316698656431</v>
      </c>
      <c r="AC384" s="69">
        <f t="shared" si="700"/>
        <v>1.1166207529843895</v>
      </c>
      <c r="AD384" s="69">
        <f t="shared" si="700"/>
        <v>1.1986001749781277</v>
      </c>
      <c r="AE384" s="69">
        <f t="shared" si="700"/>
        <v>1.3948030176026822</v>
      </c>
      <c r="AF384" s="69">
        <f t="shared" si="700"/>
        <v>1.2536348949919225</v>
      </c>
      <c r="AG384" s="69">
        <f t="shared" si="700"/>
        <v>1.4727838258164851</v>
      </c>
      <c r="AH384" s="69">
        <f t="shared" si="700"/>
        <v>1.5756207674943568</v>
      </c>
      <c r="AI384" s="69">
        <f t="shared" si="700"/>
        <v>1.8493050475493782</v>
      </c>
      <c r="AJ384" s="69">
        <f t="shared" si="700"/>
        <v>1.6664280601288475</v>
      </c>
      <c r="AK384" s="69">
        <f t="shared" ref="AK384:BG384" si="701">+AK255/AVERAGE(AJ311:AK311)</f>
        <v>1.9005602240896358</v>
      </c>
      <c r="AL384" s="69">
        <f t="shared" si="701"/>
        <v>1.8094585332419466</v>
      </c>
      <c r="AM384" s="69">
        <f t="shared" si="701"/>
        <v>2.1063257065948857</v>
      </c>
      <c r="AN384" s="69">
        <f t="shared" si="701"/>
        <v>1.8840579710144927</v>
      </c>
      <c r="AO384" s="69">
        <f t="shared" si="701"/>
        <v>2.121290322580645</v>
      </c>
      <c r="AP384" s="69">
        <f t="shared" si="701"/>
        <v>2.2297979797979797</v>
      </c>
      <c r="AQ384" s="69">
        <f t="shared" si="701"/>
        <v>2.4731315626930206</v>
      </c>
      <c r="AR384" s="69">
        <f t="shared" si="701"/>
        <v>1.9832134292565948</v>
      </c>
      <c r="AS384" s="69">
        <f t="shared" si="701"/>
        <v>1.76592082616179</v>
      </c>
      <c r="AT384" s="69">
        <f t="shared" si="701"/>
        <v>2.2024471635150169</v>
      </c>
      <c r="AU384" s="69">
        <f t="shared" si="701"/>
        <v>2.7498631636562672</v>
      </c>
      <c r="AV384" s="69">
        <f t="shared" si="701"/>
        <v>2.6157979580870498</v>
      </c>
      <c r="AW384" s="69">
        <f t="shared" si="701"/>
        <v>3.0216816499206769</v>
      </c>
      <c r="AX384" s="69">
        <f t="shared" si="701"/>
        <v>3.1189473684210527</v>
      </c>
      <c r="AY384" s="69">
        <f t="shared" si="701"/>
        <v>3.4002111932418164</v>
      </c>
      <c r="AZ384" s="69">
        <f t="shared" si="701"/>
        <v>3.1009463722397475</v>
      </c>
      <c r="BA384" s="69">
        <f t="shared" si="701"/>
        <v>3.3079331941544887</v>
      </c>
      <c r="BB384" s="69">
        <f t="shared" si="701"/>
        <v>3.1575129533678759</v>
      </c>
      <c r="BC384" s="69">
        <f t="shared" si="701"/>
        <v>3.4635897435897438</v>
      </c>
      <c r="BD384" s="69">
        <f t="shared" si="701"/>
        <v>3.2865139949109414</v>
      </c>
      <c r="BE384" s="69">
        <f t="shared" si="701"/>
        <v>3.6861167002012074</v>
      </c>
      <c r="BF384" s="69">
        <f t="shared" si="701"/>
        <v>4.1062034739454099</v>
      </c>
      <c r="BG384" s="69">
        <f t="shared" si="701"/>
        <v>4.379123584441162</v>
      </c>
      <c r="BH384" s="218" t="str">
        <f t="shared" si="695"/>
        <v>n/a</v>
      </c>
      <c r="BI384" s="218" t="str">
        <f t="shared" si="695"/>
        <v>n/a</v>
      </c>
      <c r="BJ384" s="218" t="str">
        <f t="shared" si="695"/>
        <v>n/a</v>
      </c>
      <c r="BK384" s="69"/>
      <c r="BL384" s="69"/>
      <c r="BM384" s="69"/>
      <c r="BN384" s="69"/>
      <c r="BO384" s="69"/>
      <c r="BP384" s="106"/>
      <c r="BQ384" s="106"/>
      <c r="BR384" s="106"/>
      <c r="BS384" s="106"/>
      <c r="BT384" s="69">
        <f>+SUM(D384:G384)</f>
        <v>0.95275659284091974</v>
      </c>
      <c r="BU384" s="69">
        <f>+SUM(H384:K384)</f>
        <v>1.3881408059148921</v>
      </c>
      <c r="BV384" s="69">
        <f>+SUM(L384:O384)</f>
        <v>1.7045653248695294</v>
      </c>
      <c r="BW384" s="69">
        <f>+SUM(P384:S384)</f>
        <v>2.5336212306255685</v>
      </c>
      <c r="BX384" s="69">
        <f>+SUM(T384:W384)</f>
        <v>3.253271450841853</v>
      </c>
      <c r="BY384" s="69">
        <f>+SUM(X384:AA384)</f>
        <v>3.6746965876192341</v>
      </c>
      <c r="BZ384" s="69">
        <f>+SUM(AB384:AE384)</f>
        <v>4.6063771125517636</v>
      </c>
      <c r="CA384" s="69">
        <f>+SUM(AF384:AI384)</f>
        <v>6.1513445358521421</v>
      </c>
      <c r="CB384" s="69">
        <f>+SUM(AJ384:AM384)</f>
        <v>7.4827725240553153</v>
      </c>
      <c r="CC384" s="69">
        <f>+SUM(AN384:AQ384)</f>
        <v>8.7082778360861361</v>
      </c>
      <c r="CD384" s="69">
        <f>+SUM(AR384:AU384)</f>
        <v>8.7014445825896694</v>
      </c>
      <c r="CE384" s="69">
        <f>+SUM(AV384:AY384)</f>
        <v>12.156638169670595</v>
      </c>
      <c r="CF384" s="69">
        <f>+SUM(AZ384:BC384)</f>
        <v>13.029982263351854</v>
      </c>
      <c r="CG384" s="69">
        <f>+SUM(BD384:BG384)</f>
        <v>15.45795775349872</v>
      </c>
      <c r="CH384" s="69"/>
      <c r="CI384" s="69"/>
    </row>
    <row r="385" spans="2:87" x14ac:dyDescent="0.2">
      <c r="B385" s="110" t="s">
        <v>584</v>
      </c>
      <c r="D385" s="126">
        <f>+D256/AVERAGE(BS312,D312)</f>
        <v>0.85858585858585856</v>
      </c>
      <c r="E385" s="126">
        <f t="shared" ref="E385:AJ385" si="702">+E256/AVERAGE(D312:E312)</f>
        <v>0.92778993435448576</v>
      </c>
      <c r="F385" s="126">
        <f t="shared" si="702"/>
        <v>0.87209302325581395</v>
      </c>
      <c r="G385" s="126">
        <f t="shared" si="702"/>
        <v>1.1312607944732298</v>
      </c>
      <c r="H385" s="126">
        <f t="shared" si="702"/>
        <v>0.98836307214895269</v>
      </c>
      <c r="I385" s="126">
        <f t="shared" si="702"/>
        <v>1.0937279774489077</v>
      </c>
      <c r="J385" s="126">
        <f t="shared" si="702"/>
        <v>1.0377113133940181</v>
      </c>
      <c r="K385" s="126">
        <f t="shared" si="702"/>
        <v>1.1465045592705168</v>
      </c>
      <c r="L385" s="126">
        <f t="shared" si="702"/>
        <v>0.99885452462772051</v>
      </c>
      <c r="M385" s="126">
        <f t="shared" si="702"/>
        <v>1.0689655172413792</v>
      </c>
      <c r="N385" s="126">
        <f t="shared" si="702"/>
        <v>1.107033639143731</v>
      </c>
      <c r="O385" s="126">
        <f t="shared" si="702"/>
        <v>1.2884149297140086</v>
      </c>
      <c r="P385" s="126">
        <f t="shared" si="702"/>
        <v>1.1495844875346259</v>
      </c>
      <c r="Q385" s="126">
        <f t="shared" si="702"/>
        <v>1.4119205298013244</v>
      </c>
      <c r="R385" s="126">
        <f t="shared" si="702"/>
        <v>1.5341296928327646</v>
      </c>
      <c r="S385" s="126">
        <f t="shared" si="702"/>
        <v>1.9403973509933774</v>
      </c>
      <c r="T385" s="126">
        <f t="shared" si="702"/>
        <v>1.809828206152617</v>
      </c>
      <c r="U385" s="126">
        <f t="shared" si="702"/>
        <v>2.0640185113767835</v>
      </c>
      <c r="V385" s="126">
        <f t="shared" si="702"/>
        <v>2.21664167916042</v>
      </c>
      <c r="W385" s="126">
        <f t="shared" si="702"/>
        <v>2.6185792349726777</v>
      </c>
      <c r="X385" s="126">
        <f t="shared" si="702"/>
        <v>2.3400352733686067</v>
      </c>
      <c r="Y385" s="126">
        <f t="shared" si="702"/>
        <v>2.6113954281815079</v>
      </c>
      <c r="Z385" s="126">
        <f t="shared" si="702"/>
        <v>2.8329489291598025</v>
      </c>
      <c r="AA385" s="126">
        <f t="shared" si="702"/>
        <v>3.5950255102040818</v>
      </c>
      <c r="AB385" s="126">
        <f t="shared" si="702"/>
        <v>3.205546995377504</v>
      </c>
      <c r="AC385" s="126">
        <f t="shared" si="702"/>
        <v>3.7070707070707072</v>
      </c>
      <c r="AD385" s="126">
        <f t="shared" si="702"/>
        <v>3.8959702772220632</v>
      </c>
      <c r="AE385" s="126">
        <f t="shared" si="702"/>
        <v>4.7334064728469558</v>
      </c>
      <c r="AF385" s="126">
        <f t="shared" si="702"/>
        <v>4.140711462450593</v>
      </c>
      <c r="AG385" s="126">
        <f t="shared" si="702"/>
        <v>4.6494165398274987</v>
      </c>
      <c r="AH385" s="126">
        <f t="shared" si="702"/>
        <v>4.9740068661108383</v>
      </c>
      <c r="AI385" s="126">
        <f t="shared" si="702"/>
        <v>6.0837895739109733</v>
      </c>
      <c r="AJ385" s="126">
        <f t="shared" si="702"/>
        <v>5.4543352601156068</v>
      </c>
      <c r="AK385" s="126">
        <f t="shared" ref="AK385:BG385" si="703">+AK256/AVERAGE(AJ312:AK312)</f>
        <v>5.8862302483069975</v>
      </c>
      <c r="AL385" s="126">
        <f t="shared" si="703"/>
        <v>6.0119893428063946</v>
      </c>
      <c r="AM385" s="126">
        <f t="shared" si="703"/>
        <v>7.2505446623093679</v>
      </c>
      <c r="AN385" s="126">
        <f t="shared" si="703"/>
        <v>6.3509369676320269</v>
      </c>
      <c r="AO385" s="126">
        <f t="shared" si="703"/>
        <v>6.9411273486430058</v>
      </c>
      <c r="AP385" s="126">
        <f t="shared" si="703"/>
        <v>7.1490849269997945</v>
      </c>
      <c r="AQ385" s="126">
        <f t="shared" si="703"/>
        <v>8.3849575414476352</v>
      </c>
      <c r="AR385" s="126">
        <f t="shared" si="703"/>
        <v>6.8392156862745095</v>
      </c>
      <c r="AS385" s="126">
        <f t="shared" si="703"/>
        <v>6.9096737695643977</v>
      </c>
      <c r="AT385" s="126">
        <f t="shared" si="703"/>
        <v>7.8018382352941176</v>
      </c>
      <c r="AU385" s="126">
        <f t="shared" si="703"/>
        <v>9.8201191981217271</v>
      </c>
      <c r="AV385" s="126">
        <f t="shared" si="703"/>
        <v>9.006549831828643</v>
      </c>
      <c r="AW385" s="126">
        <f t="shared" si="703"/>
        <v>9.9460588132938916</v>
      </c>
      <c r="AX385" s="126">
        <f t="shared" si="703"/>
        <v>9.7402686875645887</v>
      </c>
      <c r="AY385" s="126">
        <f t="shared" si="703"/>
        <v>11.210372660140822</v>
      </c>
      <c r="AZ385" s="126">
        <f t="shared" si="703"/>
        <v>9.2348212758679669</v>
      </c>
      <c r="BA385" s="126">
        <f t="shared" si="703"/>
        <v>9.591822827938671</v>
      </c>
      <c r="BB385" s="126">
        <f t="shared" si="703"/>
        <v>9.2454175152749496</v>
      </c>
      <c r="BC385" s="126">
        <f t="shared" si="703"/>
        <v>10.557000506671171</v>
      </c>
      <c r="BD385" s="126">
        <f t="shared" si="703"/>
        <v>9.4393684917702387</v>
      </c>
      <c r="BE385" s="126">
        <f t="shared" si="703"/>
        <v>10.464451827242526</v>
      </c>
      <c r="BF385" s="126">
        <f t="shared" si="703"/>
        <v>11.068596808685639</v>
      </c>
      <c r="BG385" s="126">
        <f t="shared" si="703"/>
        <v>12.66143277723258</v>
      </c>
      <c r="BH385" s="219" t="str">
        <f t="shared" si="695"/>
        <v>n/a</v>
      </c>
      <c r="BI385" s="219" t="str">
        <f t="shared" si="695"/>
        <v>n/a</v>
      </c>
      <c r="BJ385" s="219" t="str">
        <f t="shared" si="695"/>
        <v>n/a</v>
      </c>
      <c r="BK385" s="126"/>
      <c r="BL385" s="126"/>
      <c r="BM385" s="126"/>
      <c r="BN385" s="126"/>
      <c r="BO385" s="126"/>
      <c r="BP385" s="106"/>
      <c r="BQ385" s="106"/>
      <c r="BR385" s="106"/>
      <c r="BS385" s="106"/>
      <c r="BT385" s="126">
        <f>+SUM(D385:G385)</f>
        <v>3.7897296106693883</v>
      </c>
      <c r="BU385" s="126">
        <f>+SUM(H385:K385)</f>
        <v>4.2663069222623946</v>
      </c>
      <c r="BV385" s="126">
        <f>+SUM(L385:O385)</f>
        <v>4.4632686107268391</v>
      </c>
      <c r="BW385" s="126">
        <f>+SUM(P385:S385)</f>
        <v>6.0360320611620928</v>
      </c>
      <c r="BX385" s="126">
        <f>+SUM(T385:W385)</f>
        <v>8.7090676316624993</v>
      </c>
      <c r="BY385" s="126">
        <f>+SUM(X385:AA385)</f>
        <v>11.379405140913999</v>
      </c>
      <c r="BZ385" s="126">
        <f>+SUM(AB385:AE385)</f>
        <v>15.54199445251723</v>
      </c>
      <c r="CA385" s="126">
        <f>+SUM(AF385:AI385)</f>
        <v>19.847924442299902</v>
      </c>
      <c r="CB385" s="126">
        <f>+SUM(AJ385:AM385)</f>
        <v>24.603099513538368</v>
      </c>
      <c r="CC385" s="126">
        <f>+SUM(AN385:AQ385)</f>
        <v>28.826106784722462</v>
      </c>
      <c r="CD385" s="126">
        <f>+SUM(AR385:AU385)</f>
        <v>31.37084688925475</v>
      </c>
      <c r="CE385" s="126">
        <f>+SUM(AV385:AY385)</f>
        <v>39.903249992827945</v>
      </c>
      <c r="CF385" s="126">
        <f>+SUM(AZ385:BC385)</f>
        <v>38.62906212575276</v>
      </c>
      <c r="CG385" s="126">
        <f>+SUM(BD385:BG385)</f>
        <v>43.633849904930983</v>
      </c>
      <c r="CH385" s="126"/>
      <c r="CI385" s="126"/>
    </row>
    <row r="386" spans="2:87" x14ac:dyDescent="0.2">
      <c r="E386" s="57"/>
      <c r="F386" s="57"/>
      <c r="G386" s="57"/>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c r="AD386" s="106"/>
      <c r="AE386" s="106"/>
      <c r="AF386" s="106"/>
      <c r="AG386" s="106"/>
      <c r="AH386" s="106"/>
      <c r="AI386" s="106"/>
      <c r="AJ386" s="106"/>
      <c r="AK386" s="106"/>
      <c r="AL386" s="106"/>
      <c r="AM386" s="106"/>
      <c r="AN386" s="106"/>
      <c r="AO386" s="106"/>
      <c r="AP386" s="106"/>
      <c r="AQ386" s="106"/>
      <c r="AR386" s="106"/>
      <c r="AS386" s="106"/>
      <c r="AT386" s="106"/>
      <c r="AU386" s="106"/>
      <c r="AV386" s="106"/>
      <c r="AW386" s="106"/>
      <c r="AX386" s="106"/>
      <c r="AY386" s="106"/>
      <c r="AZ386" s="106"/>
      <c r="BA386" s="106"/>
      <c r="BB386" s="106"/>
      <c r="BC386" s="106"/>
      <c r="BD386" s="106"/>
      <c r="BE386" s="106"/>
      <c r="BF386" s="106"/>
      <c r="BG386" s="106"/>
      <c r="BH386" s="106"/>
      <c r="BI386" s="106"/>
      <c r="BJ386" s="106"/>
      <c r="BK386" s="106"/>
      <c r="BL386" s="106"/>
      <c r="BM386" s="106"/>
      <c r="BN386" s="106"/>
      <c r="BO386" s="106"/>
      <c r="BP386" s="106"/>
      <c r="BQ386" s="106"/>
      <c r="BR386" s="106"/>
      <c r="BS386" s="106"/>
      <c r="BT386" s="106"/>
      <c r="BU386" s="106"/>
      <c r="BV386" s="106"/>
      <c r="BW386" s="106"/>
      <c r="BX386" s="106"/>
      <c r="BY386" s="106"/>
      <c r="BZ386" s="106"/>
      <c r="CA386" s="106"/>
      <c r="CB386" s="106"/>
      <c r="CC386" s="106"/>
      <c r="CD386" s="106"/>
      <c r="CE386" s="68"/>
      <c r="CF386" s="68"/>
      <c r="CG386" s="68"/>
      <c r="CH386" s="68"/>
      <c r="CI386" s="68"/>
    </row>
    <row r="387" spans="2:87" x14ac:dyDescent="0.2">
      <c r="B387" s="62" t="s">
        <v>17</v>
      </c>
      <c r="E387" s="57"/>
      <c r="F387" s="57"/>
      <c r="G387" s="57"/>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c r="AE387" s="106"/>
      <c r="AF387" s="106"/>
      <c r="AG387" s="106"/>
      <c r="AH387" s="106"/>
      <c r="AI387" s="106"/>
      <c r="AJ387" s="106"/>
      <c r="AK387" s="106"/>
      <c r="AL387" s="106"/>
      <c r="AM387" s="106"/>
      <c r="AN387" s="106"/>
      <c r="AO387" s="106"/>
      <c r="AP387" s="106"/>
      <c r="AQ387" s="106"/>
      <c r="AR387" s="106"/>
      <c r="AS387" s="106"/>
      <c r="AT387" s="106"/>
      <c r="AU387" s="106"/>
      <c r="AV387" s="106"/>
      <c r="AW387" s="106"/>
      <c r="AX387" s="106"/>
      <c r="AY387" s="106"/>
      <c r="AZ387" s="106"/>
      <c r="BA387" s="106"/>
      <c r="BB387" s="106"/>
      <c r="BC387" s="106"/>
      <c r="BD387" s="106"/>
      <c r="BE387" s="106"/>
      <c r="BF387" s="106"/>
      <c r="BG387" s="106"/>
      <c r="BH387" s="106"/>
      <c r="BI387" s="106"/>
      <c r="BJ387" s="106"/>
      <c r="BK387" s="106"/>
      <c r="BL387" s="106"/>
      <c r="BM387" s="106"/>
      <c r="BN387" s="106"/>
      <c r="BO387" s="106"/>
      <c r="BP387" s="106"/>
      <c r="BQ387" s="106"/>
      <c r="BR387" s="106"/>
      <c r="BS387" s="106"/>
      <c r="BT387" s="106"/>
      <c r="BU387" s="106"/>
      <c r="BV387" s="106"/>
      <c r="BW387" s="106"/>
      <c r="BX387" s="106"/>
      <c r="BY387" s="106"/>
      <c r="BZ387" s="106"/>
      <c r="CA387" s="106"/>
      <c r="CB387" s="106"/>
      <c r="CC387" s="106"/>
      <c r="CD387" s="106"/>
      <c r="CE387" s="68"/>
      <c r="CF387" s="68"/>
      <c r="CG387" s="68"/>
      <c r="CH387" s="68"/>
      <c r="CI387" s="68"/>
    </row>
    <row r="388" spans="2:87" x14ac:dyDescent="0.2">
      <c r="B388" s="60" t="s">
        <v>214</v>
      </c>
      <c r="E388" s="57"/>
      <c r="F388" s="57"/>
      <c r="G388" s="57"/>
      <c r="H388" s="106">
        <f t="shared" ref="H388:Q392" si="704">+H381/D381-1</f>
        <v>0.21268470861696809</v>
      </c>
      <c r="I388" s="106">
        <f t="shared" si="704"/>
        <v>0.30395656700877605</v>
      </c>
      <c r="J388" s="106">
        <f t="shared" si="704"/>
        <v>0.23740245261984394</v>
      </c>
      <c r="K388" s="106">
        <f t="shared" si="704"/>
        <v>8.0277766879830459E-2</v>
      </c>
      <c r="L388" s="106">
        <f t="shared" si="704"/>
        <v>0.10516374891832525</v>
      </c>
      <c r="M388" s="106">
        <f t="shared" si="704"/>
        <v>9.3832968786540683E-2</v>
      </c>
      <c r="N388" s="106">
        <f t="shared" si="704"/>
        <v>0.25306329113924053</v>
      </c>
      <c r="O388" s="106">
        <f t="shared" si="704"/>
        <v>0.26926520251127584</v>
      </c>
      <c r="P388" s="106">
        <f t="shared" si="704"/>
        <v>0.2291415495903355</v>
      </c>
      <c r="Q388" s="106">
        <f t="shared" si="704"/>
        <v>0.41329742306650297</v>
      </c>
      <c r="R388" s="106">
        <f t="shared" ref="R388:AA392" si="705">+R381/N381-1</f>
        <v>0.46076990064891876</v>
      </c>
      <c r="S388" s="106">
        <f t="shared" si="705"/>
        <v>0.61638668779714734</v>
      </c>
      <c r="T388" s="106">
        <f t="shared" si="705"/>
        <v>0.81218757866724189</v>
      </c>
      <c r="U388" s="106">
        <f t="shared" si="705"/>
        <v>0.57749909471656102</v>
      </c>
      <c r="V388" s="106">
        <f t="shared" si="705"/>
        <v>0.5851137429643527</v>
      </c>
      <c r="W388" s="106">
        <f t="shared" si="705"/>
        <v>0.54607465306048608</v>
      </c>
      <c r="X388" s="106">
        <f t="shared" si="705"/>
        <v>0.47725776072870962</v>
      </c>
      <c r="Y388" s="106">
        <f t="shared" si="705"/>
        <v>0.49158694230672517</v>
      </c>
      <c r="Z388" s="106">
        <f t="shared" si="705"/>
        <v>0.48413755421234161</v>
      </c>
      <c r="AA388" s="106">
        <f t="shared" si="705"/>
        <v>0.58182799104578575</v>
      </c>
      <c r="AB388" s="106">
        <f t="shared" ref="AB388:AK392" si="706">+AB381/X381-1</f>
        <v>0.55692008796818571</v>
      </c>
      <c r="AC388" s="106">
        <f t="shared" si="706"/>
        <v>0.59106922821154728</v>
      </c>
      <c r="AD388" s="106">
        <f t="shared" si="706"/>
        <v>0.52947335683184749</v>
      </c>
      <c r="AE388" s="106">
        <f t="shared" si="706"/>
        <v>0.47650463493227035</v>
      </c>
      <c r="AF388" s="106">
        <f t="shared" si="706"/>
        <v>0.39664960217109724</v>
      </c>
      <c r="AG388" s="106">
        <f t="shared" si="706"/>
        <v>0.37851872852114887</v>
      </c>
      <c r="AH388" s="106">
        <f t="shared" si="706"/>
        <v>0.3713724708156283</v>
      </c>
      <c r="AI388" s="106">
        <f t="shared" si="706"/>
        <v>0.36073360912860331</v>
      </c>
      <c r="AJ388" s="106">
        <f t="shared" si="706"/>
        <v>0.39841112698000525</v>
      </c>
      <c r="AK388" s="106">
        <f t="shared" si="706"/>
        <v>0.34476665578814858</v>
      </c>
      <c r="AL388" s="106">
        <f t="shared" ref="AL388:AU392" si="707">+AL381/AH381-1</f>
        <v>0.31078197813610653</v>
      </c>
      <c r="AM388" s="106">
        <f t="shared" si="707"/>
        <v>0.29864086421689229</v>
      </c>
      <c r="AN388" s="106">
        <f t="shared" si="707"/>
        <v>0.28237853355661757</v>
      </c>
      <c r="AO388" s="106">
        <f t="shared" si="707"/>
        <v>0.28244374931199623</v>
      </c>
      <c r="AP388" s="106">
        <f t="shared" si="707"/>
        <v>0.24965462018797502</v>
      </c>
      <c r="AQ388" s="106">
        <f t="shared" si="707"/>
        <v>0.18825019538092547</v>
      </c>
      <c r="AR388" s="106">
        <f t="shared" si="707"/>
        <v>0.12611511670536468</v>
      </c>
      <c r="AS388" s="106">
        <f t="shared" si="707"/>
        <v>8.9971311167595047E-2</v>
      </c>
      <c r="AT388" s="106">
        <f t="shared" si="707"/>
        <v>0.15391129431690032</v>
      </c>
      <c r="AU388" s="106">
        <f t="shared" si="707"/>
        <v>0.26620062780441778</v>
      </c>
      <c r="AV388" s="106">
        <f t="shared" ref="AV388:BG392" si="708">+AV381/AR381-1</f>
        <v>0.37591768866764874</v>
      </c>
      <c r="AW388" s="106">
        <f t="shared" si="708"/>
        <v>0.44980375325888056</v>
      </c>
      <c r="AX388" s="106">
        <f t="shared" si="708"/>
        <v>0.28828324758941504</v>
      </c>
      <c r="AY388" s="106">
        <f t="shared" si="708"/>
        <v>0.12349868047023249</v>
      </c>
      <c r="AZ388" s="106">
        <f t="shared" si="708"/>
        <v>-4.7258012223969637E-3</v>
      </c>
      <c r="BA388" s="106">
        <f t="shared" si="708"/>
        <v>-5.9583337710654383E-2</v>
      </c>
      <c r="BB388" s="106">
        <f t="shared" si="708"/>
        <v>-4.3444930848350438E-2</v>
      </c>
      <c r="BC388" s="106">
        <f t="shared" si="708"/>
        <v>-2.063763012630504E-2</v>
      </c>
      <c r="BD388" s="106">
        <f t="shared" si="708"/>
        <v>3.7294569739026562E-2</v>
      </c>
      <c r="BE388" s="106">
        <f t="shared" si="708"/>
        <v>8.0418765737591436E-2</v>
      </c>
      <c r="BF388" s="106">
        <f t="shared" si="708"/>
        <v>0.1477286449710602</v>
      </c>
      <c r="BG388" s="106">
        <f t="shared" si="708"/>
        <v>0.16119525535687007</v>
      </c>
      <c r="BH388" s="164" t="str">
        <f>+IFERROR(BH381/BD381-1,"n/a")</f>
        <v>n/a</v>
      </c>
      <c r="BI388" s="164" t="str">
        <f>+IFERROR(BI381/BE381-1,"n/a")</f>
        <v>n/a</v>
      </c>
      <c r="BJ388" s="164" t="str">
        <f>+IFERROR(BJ381/BF381-1,"n/a")</f>
        <v>n/a</v>
      </c>
      <c r="BK388" s="106"/>
      <c r="BL388" s="106"/>
      <c r="BM388" s="106"/>
      <c r="BN388" s="106"/>
      <c r="BO388" s="106"/>
      <c r="BP388" s="106"/>
      <c r="BQ388" s="106"/>
      <c r="BR388" s="106"/>
      <c r="BS388" s="106"/>
      <c r="BT388" s="106"/>
      <c r="BU388" s="106">
        <f t="shared" ref="BU388:CG388" si="709">+BU381/BT381-1</f>
        <v>0.19896130968088177</v>
      </c>
      <c r="BV388" s="106">
        <f t="shared" si="709"/>
        <v>0.18409939170739631</v>
      </c>
      <c r="BW388" s="106">
        <f t="shared" si="709"/>
        <v>0.44765717471319322</v>
      </c>
      <c r="BX388" s="106">
        <f t="shared" si="709"/>
        <v>0.61064648039858427</v>
      </c>
      <c r="BY388" s="106">
        <f t="shared" si="709"/>
        <v>0.51564064519207498</v>
      </c>
      <c r="BZ388" s="106">
        <f t="shared" si="709"/>
        <v>0.53072704550565408</v>
      </c>
      <c r="CA388" s="106">
        <f t="shared" si="709"/>
        <v>0.37458782071599339</v>
      </c>
      <c r="CB388" s="106">
        <f t="shared" si="709"/>
        <v>0.33233513023908179</v>
      </c>
      <c r="CC388" s="106">
        <f t="shared" si="709"/>
        <v>0.24510696840838553</v>
      </c>
      <c r="CD388" s="106">
        <f t="shared" si="709"/>
        <v>0.16585294511440218</v>
      </c>
      <c r="CE388" s="106">
        <f t="shared" si="709"/>
        <v>0.28974270206742148</v>
      </c>
      <c r="CF388" s="106">
        <f t="shared" si="709"/>
        <v>-3.2438513007682968E-2</v>
      </c>
      <c r="CG388" s="106">
        <f t="shared" si="709"/>
        <v>0.10969584159602297</v>
      </c>
      <c r="CH388" s="106"/>
      <c r="CI388" s="106"/>
    </row>
    <row r="389" spans="2:87" x14ac:dyDescent="0.2">
      <c r="B389" s="60" t="s">
        <v>215</v>
      </c>
      <c r="E389" s="57"/>
      <c r="F389" s="57"/>
      <c r="G389" s="57"/>
      <c r="H389" s="106">
        <f t="shared" si="704"/>
        <v>0.42496744791666674</v>
      </c>
      <c r="I389" s="106">
        <f t="shared" si="704"/>
        <v>0.33938029661016933</v>
      </c>
      <c r="J389" s="106">
        <f t="shared" si="704"/>
        <v>0.38408243027180666</v>
      </c>
      <c r="K389" s="106">
        <f t="shared" si="704"/>
        <v>0.18407960199004991</v>
      </c>
      <c r="L389" s="106">
        <f t="shared" si="704"/>
        <v>9.1361712720936072E-2</v>
      </c>
      <c r="M389" s="106">
        <f t="shared" si="704"/>
        <v>2.185567010309275E-2</v>
      </c>
      <c r="N389" s="106">
        <f t="shared" si="704"/>
        <v>4.4824342562676422E-2</v>
      </c>
      <c r="O389" s="106">
        <f t="shared" si="704"/>
        <v>7.0038910505836549E-2</v>
      </c>
      <c r="P389" s="106">
        <f t="shared" si="704"/>
        <v>0.18272965156314536</v>
      </c>
      <c r="Q389" s="106">
        <f t="shared" si="704"/>
        <v>0.37522476643152647</v>
      </c>
      <c r="R389" s="106">
        <f t="shared" si="705"/>
        <v>0.48780155882716802</v>
      </c>
      <c r="S389" s="106">
        <f t="shared" si="705"/>
        <v>0.62062752764840057</v>
      </c>
      <c r="T389" s="106">
        <f t="shared" si="705"/>
        <v>0.59589037827416913</v>
      </c>
      <c r="U389" s="106">
        <f t="shared" si="705"/>
        <v>0.56293339337711945</v>
      </c>
      <c r="V389" s="106">
        <f t="shared" si="705"/>
        <v>0.51397239393682792</v>
      </c>
      <c r="W389" s="106">
        <f t="shared" si="705"/>
        <v>0.36365719173374478</v>
      </c>
      <c r="X389" s="106">
        <f t="shared" si="705"/>
        <v>0.27253367670364481</v>
      </c>
      <c r="Y389" s="106">
        <f t="shared" si="705"/>
        <v>0.22576983750368718</v>
      </c>
      <c r="Z389" s="106">
        <f t="shared" si="705"/>
        <v>0.24879732657632836</v>
      </c>
      <c r="AA389" s="106">
        <f t="shared" si="705"/>
        <v>0.3772874216300941</v>
      </c>
      <c r="AB389" s="106">
        <f t="shared" si="706"/>
        <v>0.37669376693766932</v>
      </c>
      <c r="AC389" s="106">
        <f t="shared" si="706"/>
        <v>0.44170792583767837</v>
      </c>
      <c r="AD389" s="106">
        <f t="shared" si="706"/>
        <v>0.38220884895745022</v>
      </c>
      <c r="AE389" s="106">
        <f t="shared" si="706"/>
        <v>0.32320001474831073</v>
      </c>
      <c r="AF389" s="106">
        <f t="shared" si="706"/>
        <v>0.37326418834914477</v>
      </c>
      <c r="AG389" s="106">
        <f t="shared" si="706"/>
        <v>0.34366665760155191</v>
      </c>
      <c r="AH389" s="106">
        <f t="shared" si="706"/>
        <v>0.46262146389398495</v>
      </c>
      <c r="AI389" s="106">
        <f t="shared" si="706"/>
        <v>0.48581155178793689</v>
      </c>
      <c r="AJ389" s="106">
        <f t="shared" si="706"/>
        <v>0.50656200690043929</v>
      </c>
      <c r="AK389" s="106">
        <f t="shared" si="706"/>
        <v>0.39376581496557894</v>
      </c>
      <c r="AL389" s="106">
        <f t="shared" si="707"/>
        <v>0.29358280988263252</v>
      </c>
      <c r="AM389" s="106">
        <f t="shared" si="707"/>
        <v>0.24157263378164484</v>
      </c>
      <c r="AN389" s="106">
        <f t="shared" si="707"/>
        <v>0.17783501100975152</v>
      </c>
      <c r="AO389" s="106">
        <f t="shared" si="707"/>
        <v>0.21924248971642535</v>
      </c>
      <c r="AP389" s="106">
        <f t="shared" si="707"/>
        <v>0.20840207951924206</v>
      </c>
      <c r="AQ389" s="106">
        <f t="shared" si="707"/>
        <v>0.20104625797358167</v>
      </c>
      <c r="AR389" s="106">
        <f t="shared" si="707"/>
        <v>0.1051589775561097</v>
      </c>
      <c r="AS389" s="106">
        <f t="shared" si="707"/>
        <v>2.8180818456494672E-2</v>
      </c>
      <c r="AT389" s="106">
        <f t="shared" si="707"/>
        <v>0.1678574241721329</v>
      </c>
      <c r="AU389" s="106">
        <f t="shared" si="707"/>
        <v>0.26283267979309177</v>
      </c>
      <c r="AV389" s="106">
        <f t="shared" si="708"/>
        <v>0.45171586870319946</v>
      </c>
      <c r="AW389" s="106">
        <f t="shared" si="708"/>
        <v>0.58110062920989347</v>
      </c>
      <c r="AX389" s="106">
        <f t="shared" si="708"/>
        <v>0.3183870898801382</v>
      </c>
      <c r="AY389" s="106">
        <f t="shared" si="708"/>
        <v>0.17280907789677014</v>
      </c>
      <c r="AZ389" s="106">
        <f t="shared" si="708"/>
        <v>-4.9574898541089318E-3</v>
      </c>
      <c r="BA389" s="106">
        <f t="shared" si="708"/>
        <v>-9.8020314175761736E-2</v>
      </c>
      <c r="BB389" s="106">
        <f t="shared" si="708"/>
        <v>-0.13457429824711298</v>
      </c>
      <c r="BC389" s="106">
        <f t="shared" si="708"/>
        <v>-0.1190982630846571</v>
      </c>
      <c r="BD389" s="106">
        <f t="shared" si="708"/>
        <v>1.7586892345236471E-2</v>
      </c>
      <c r="BE389" s="106">
        <f t="shared" si="708"/>
        <v>0.1497353888633226</v>
      </c>
      <c r="BF389" s="106">
        <f t="shared" si="708"/>
        <v>0.34958807485664156</v>
      </c>
      <c r="BG389" s="106">
        <f t="shared" si="708"/>
        <v>0.32499648541340043</v>
      </c>
      <c r="BH389" s="164" t="str">
        <f t="shared" ref="BH389:BJ392" si="710">+IFERROR(BH382/BD382-1,"n/a")</f>
        <v>n/a</v>
      </c>
      <c r="BI389" s="164" t="str">
        <f t="shared" si="710"/>
        <v>n/a</v>
      </c>
      <c r="BJ389" s="164" t="str">
        <f t="shared" si="710"/>
        <v>n/a</v>
      </c>
      <c r="BK389" s="106"/>
      <c r="BL389" s="106"/>
      <c r="BM389" s="106"/>
      <c r="BN389" s="106"/>
      <c r="BO389" s="106"/>
      <c r="BP389" s="106"/>
      <c r="BQ389" s="106"/>
      <c r="BR389" s="106"/>
      <c r="BS389" s="106"/>
      <c r="BT389" s="106"/>
      <c r="BU389" s="106">
        <f t="shared" ref="BU389:CG389" si="711">+BU382/BT382-1</f>
        <v>0.31791446756296571</v>
      </c>
      <c r="BV389" s="106">
        <f t="shared" si="711"/>
        <v>5.6815839154658265E-2</v>
      </c>
      <c r="BW389" s="106">
        <f t="shared" si="711"/>
        <v>0.42796991636021731</v>
      </c>
      <c r="BX389" s="106">
        <f t="shared" si="711"/>
        <v>0.49173638423504262</v>
      </c>
      <c r="BY389" s="106">
        <f t="shared" si="711"/>
        <v>0.28672868201452339</v>
      </c>
      <c r="BZ389" s="106">
        <f t="shared" si="711"/>
        <v>0.37589884469874746</v>
      </c>
      <c r="CA389" s="106">
        <f t="shared" si="711"/>
        <v>0.42259731820259772</v>
      </c>
      <c r="CB389" s="106">
        <f t="shared" si="711"/>
        <v>0.34182215277199135</v>
      </c>
      <c r="CC389" s="106">
        <f t="shared" si="711"/>
        <v>0.20201369588481266</v>
      </c>
      <c r="CD389" s="106">
        <f t="shared" si="711"/>
        <v>0.14882412383477028</v>
      </c>
      <c r="CE389" s="106">
        <f t="shared" si="711"/>
        <v>0.3553160683938279</v>
      </c>
      <c r="CF389" s="106">
        <f t="shared" si="711"/>
        <v>-9.1932382150010206E-2</v>
      </c>
      <c r="CG389" s="106">
        <f t="shared" si="711"/>
        <v>0.21123381289199616</v>
      </c>
      <c r="CH389" s="106"/>
      <c r="CI389" s="106"/>
    </row>
    <row r="390" spans="2:87" x14ac:dyDescent="0.2">
      <c r="B390" s="60" t="s">
        <v>216</v>
      </c>
      <c r="E390" s="57"/>
      <c r="F390" s="57"/>
      <c r="G390" s="57"/>
      <c r="H390" s="106">
        <f t="shared" si="704"/>
        <v>0.23809523809523792</v>
      </c>
      <c r="I390" s="106">
        <f t="shared" si="704"/>
        <v>0.2803519061583577</v>
      </c>
      <c r="J390" s="106">
        <f t="shared" si="704"/>
        <v>0.38078078078078081</v>
      </c>
      <c r="K390" s="106">
        <f t="shared" si="704"/>
        <v>0.10270995190529031</v>
      </c>
      <c r="L390" s="106">
        <f t="shared" si="704"/>
        <v>0.16535874439461895</v>
      </c>
      <c r="M390" s="106">
        <f t="shared" si="704"/>
        <v>4.874813463770522E-2</v>
      </c>
      <c r="N390" s="106">
        <f t="shared" si="704"/>
        <v>5.1136363636363535E-2</v>
      </c>
      <c r="O390" s="106">
        <f t="shared" si="704"/>
        <v>0.25481006864988576</v>
      </c>
      <c r="P390" s="106">
        <f t="shared" si="704"/>
        <v>0.28507113272105178</v>
      </c>
      <c r="Q390" s="106">
        <f t="shared" si="704"/>
        <v>0.45401083652702523</v>
      </c>
      <c r="R390" s="106">
        <f t="shared" si="705"/>
        <v>0.47826086956521729</v>
      </c>
      <c r="S390" s="106">
        <f t="shared" si="705"/>
        <v>0.51375918935028797</v>
      </c>
      <c r="T390" s="106">
        <f t="shared" si="705"/>
        <v>0.5400950467738066</v>
      </c>
      <c r="U390" s="106">
        <f t="shared" si="705"/>
        <v>0.49146666666666672</v>
      </c>
      <c r="V390" s="106">
        <f t="shared" si="705"/>
        <v>0.51801294680551635</v>
      </c>
      <c r="W390" s="106">
        <f t="shared" si="705"/>
        <v>0.37210781671159032</v>
      </c>
      <c r="X390" s="106">
        <f t="shared" si="705"/>
        <v>0.29648779213996623</v>
      </c>
      <c r="Y390" s="106">
        <f t="shared" si="705"/>
        <v>0.22739214671900831</v>
      </c>
      <c r="Z390" s="106">
        <f t="shared" si="705"/>
        <v>0.21638751040415305</v>
      </c>
      <c r="AA390" s="106">
        <f t="shared" si="705"/>
        <v>0.29311912485707148</v>
      </c>
      <c r="AB390" s="106">
        <f t="shared" si="706"/>
        <v>0.34774926493933145</v>
      </c>
      <c r="AC390" s="106">
        <f t="shared" si="706"/>
        <v>0.39196748454873753</v>
      </c>
      <c r="AD390" s="106">
        <f t="shared" si="706"/>
        <v>0.36460287901210076</v>
      </c>
      <c r="AE390" s="106">
        <f t="shared" si="706"/>
        <v>0.30856536162852244</v>
      </c>
      <c r="AF390" s="106">
        <f t="shared" si="706"/>
        <v>0.27644855549365244</v>
      </c>
      <c r="AG390" s="106">
        <f t="shared" si="706"/>
        <v>0.21472238979618208</v>
      </c>
      <c r="AH390" s="106">
        <f t="shared" si="706"/>
        <v>0.21175078730104691</v>
      </c>
      <c r="AI390" s="106">
        <f t="shared" si="706"/>
        <v>0.22958534806101971</v>
      </c>
      <c r="AJ390" s="106">
        <f t="shared" si="706"/>
        <v>0.24796711620125778</v>
      </c>
      <c r="AK390" s="106">
        <f t="shared" si="706"/>
        <v>0.2281878658300478</v>
      </c>
      <c r="AL390" s="106">
        <f t="shared" si="707"/>
        <v>0.17738652583364667</v>
      </c>
      <c r="AM390" s="106">
        <f t="shared" si="707"/>
        <v>0.16504430156920602</v>
      </c>
      <c r="AN390" s="106">
        <f t="shared" si="707"/>
        <v>0.13251825327162448</v>
      </c>
      <c r="AO390" s="106">
        <f t="shared" si="707"/>
        <v>0.1573859925990424</v>
      </c>
      <c r="AP390" s="106">
        <f t="shared" si="707"/>
        <v>0.2108190585045322</v>
      </c>
      <c r="AQ390" s="106">
        <f t="shared" si="707"/>
        <v>0.20712637374947596</v>
      </c>
      <c r="AR390" s="106">
        <f t="shared" si="707"/>
        <v>9.6530791227061874E-2</v>
      </c>
      <c r="AS390" s="106">
        <f t="shared" si="707"/>
        <v>-1.5059188560251013E-2</v>
      </c>
      <c r="AT390" s="106">
        <f t="shared" si="707"/>
        <v>0.1317847105430654</v>
      </c>
      <c r="AU390" s="106">
        <f t="shared" si="707"/>
        <v>0.11987500769156645</v>
      </c>
      <c r="AV390" s="106">
        <f t="shared" si="708"/>
        <v>0.28371142168105701</v>
      </c>
      <c r="AW390" s="106">
        <f t="shared" si="708"/>
        <v>0.39345357381429524</v>
      </c>
      <c r="AX390" s="106">
        <f t="shared" si="708"/>
        <v>0.16591335362090942</v>
      </c>
      <c r="AY390" s="106">
        <f t="shared" si="708"/>
        <v>0.2164508419857869</v>
      </c>
      <c r="AZ390" s="106">
        <f t="shared" si="708"/>
        <v>0.12777757045755123</v>
      </c>
      <c r="BA390" s="106">
        <f t="shared" si="708"/>
        <v>8.599609533516972E-2</v>
      </c>
      <c r="BB390" s="106">
        <f t="shared" si="708"/>
        <v>2.9148272835733735E-2</v>
      </c>
      <c r="BC390" s="106">
        <f t="shared" si="708"/>
        <v>-5.9786274718642507E-2</v>
      </c>
      <c r="BD390" s="106">
        <f t="shared" si="708"/>
        <v>1.6892662545612502E-2</v>
      </c>
      <c r="BE390" s="106">
        <f t="shared" si="708"/>
        <v>7.3534545685359776E-2</v>
      </c>
      <c r="BF390" s="106">
        <f t="shared" si="708"/>
        <v>0.15522040371547829</v>
      </c>
      <c r="BG390" s="106">
        <f t="shared" si="708"/>
        <v>0.18086869569667674</v>
      </c>
      <c r="BH390" s="164" t="str">
        <f t="shared" si="710"/>
        <v>n/a</v>
      </c>
      <c r="BI390" s="164" t="str">
        <f t="shared" si="710"/>
        <v>n/a</v>
      </c>
      <c r="BJ390" s="164" t="str">
        <f t="shared" si="710"/>
        <v>n/a</v>
      </c>
      <c r="BK390" s="106"/>
      <c r="BL390" s="106"/>
      <c r="BM390" s="106"/>
      <c r="BN390" s="106"/>
      <c r="BO390" s="106"/>
      <c r="BP390" s="106"/>
      <c r="BQ390" s="106"/>
      <c r="BR390" s="106"/>
      <c r="BS390" s="106"/>
      <c r="BT390" s="106"/>
      <c r="BU390" s="106">
        <f t="shared" ref="BU390:CG390" si="712">+BU383/BT383-1</f>
        <v>0.24285521585283365</v>
      </c>
      <c r="BV390" s="106">
        <f t="shared" si="712"/>
        <v>0.12866647200240866</v>
      </c>
      <c r="BW390" s="106">
        <f t="shared" si="712"/>
        <v>0.44002068437398023</v>
      </c>
      <c r="BX390" s="106">
        <f t="shared" si="712"/>
        <v>0.47123915057267118</v>
      </c>
      <c r="BY390" s="106">
        <f t="shared" si="712"/>
        <v>0.25765317295645751</v>
      </c>
      <c r="BZ390" s="106">
        <f t="shared" si="712"/>
        <v>0.35091565117291323</v>
      </c>
      <c r="CA390" s="106">
        <f t="shared" si="712"/>
        <v>0.23136889538448835</v>
      </c>
      <c r="CB390" s="106">
        <f t="shared" si="712"/>
        <v>0.20162141446370674</v>
      </c>
      <c r="CC390" s="106">
        <f t="shared" si="712"/>
        <v>0.17875810289779359</v>
      </c>
      <c r="CD390" s="106">
        <f t="shared" si="712"/>
        <v>8.5416552691602643E-2</v>
      </c>
      <c r="CE390" s="106">
        <f t="shared" si="712"/>
        <v>0.25645665871402334</v>
      </c>
      <c r="CF390" s="106">
        <f t="shared" si="712"/>
        <v>4.0195150447425387E-2</v>
      </c>
      <c r="CG390" s="106">
        <f t="shared" si="712"/>
        <v>0.10702293072810187</v>
      </c>
      <c r="CH390" s="106"/>
      <c r="CI390" s="106"/>
    </row>
    <row r="391" spans="2:87" ht="13.5" x14ac:dyDescent="0.35">
      <c r="B391" s="60" t="s">
        <v>217</v>
      </c>
      <c r="E391" s="57"/>
      <c r="F391" s="57"/>
      <c r="G391" s="57"/>
      <c r="H391" s="108">
        <f t="shared" si="704"/>
        <v>0.71009942438513862</v>
      </c>
      <c r="I391" s="108">
        <f t="shared" si="704"/>
        <v>0.50673890063424953</v>
      </c>
      <c r="J391" s="108">
        <f t="shared" si="704"/>
        <v>0.67521367521367526</v>
      </c>
      <c r="K391" s="108">
        <f t="shared" si="704"/>
        <v>0.14197530864197527</v>
      </c>
      <c r="L391" s="108">
        <f t="shared" si="704"/>
        <v>0.16378030677882238</v>
      </c>
      <c r="M391" s="108">
        <f t="shared" si="704"/>
        <v>0.10696494322225325</v>
      </c>
      <c r="N391" s="108">
        <f t="shared" si="704"/>
        <v>0.2024665981500513</v>
      </c>
      <c r="O391" s="108">
        <f t="shared" si="704"/>
        <v>0.42297297297297298</v>
      </c>
      <c r="P391" s="108">
        <f t="shared" si="704"/>
        <v>0.39659270998415219</v>
      </c>
      <c r="Q391" s="108">
        <f t="shared" si="704"/>
        <v>0.48054063321522467</v>
      </c>
      <c r="R391" s="108">
        <f t="shared" si="705"/>
        <v>0.49652092148566052</v>
      </c>
      <c r="S391" s="108">
        <f t="shared" si="705"/>
        <v>0.54054335380451768</v>
      </c>
      <c r="T391" s="108">
        <f t="shared" si="705"/>
        <v>0.42950281020319947</v>
      </c>
      <c r="U391" s="108">
        <f t="shared" si="705"/>
        <v>0.38889025378964703</v>
      </c>
      <c r="V391" s="108">
        <f t="shared" si="705"/>
        <v>0.2733236991193071</v>
      </c>
      <c r="W391" s="108">
        <f t="shared" si="705"/>
        <v>0.12986418315871151</v>
      </c>
      <c r="X391" s="108">
        <f t="shared" si="705"/>
        <v>0.14532152946530541</v>
      </c>
      <c r="Y391" s="108">
        <f t="shared" si="705"/>
        <v>6.2385593111093929E-2</v>
      </c>
      <c r="Z391" s="108">
        <f t="shared" si="705"/>
        <v>0.12222471406144875</v>
      </c>
      <c r="AA391" s="108">
        <f t="shared" si="705"/>
        <v>0.18543773798379992</v>
      </c>
      <c r="AB391" s="108">
        <f t="shared" si="706"/>
        <v>0.15152885180788389</v>
      </c>
      <c r="AC391" s="108">
        <f t="shared" si="706"/>
        <v>0.26063479875438089</v>
      </c>
      <c r="AD391" s="108">
        <f t="shared" si="706"/>
        <v>0.29848352289297164</v>
      </c>
      <c r="AE391" s="108">
        <f t="shared" si="706"/>
        <v>0.28262906168334889</v>
      </c>
      <c r="AF391" s="108">
        <f t="shared" si="706"/>
        <v>0.39859481860983204</v>
      </c>
      <c r="AG391" s="108">
        <f t="shared" si="706"/>
        <v>0.31896512032413837</v>
      </c>
      <c r="AH391" s="108">
        <f t="shared" si="706"/>
        <v>0.31455075711390501</v>
      </c>
      <c r="AI391" s="108">
        <f t="shared" si="706"/>
        <v>0.3258539193067358</v>
      </c>
      <c r="AJ391" s="108">
        <f t="shared" si="706"/>
        <v>0.329277022190408</v>
      </c>
      <c r="AK391" s="108">
        <f t="shared" si="706"/>
        <v>0.29045430210098822</v>
      </c>
      <c r="AL391" s="108">
        <f t="shared" si="707"/>
        <v>0.1484099286908056</v>
      </c>
      <c r="AM391" s="108">
        <f t="shared" si="707"/>
        <v>0.13898229466582634</v>
      </c>
      <c r="AN391" s="108">
        <f t="shared" si="707"/>
        <v>0.13059664325912634</v>
      </c>
      <c r="AO391" s="108">
        <f t="shared" si="707"/>
        <v>0.11613949176313976</v>
      </c>
      <c r="AP391" s="108">
        <f t="shared" si="707"/>
        <v>0.23230123201714092</v>
      </c>
      <c r="AQ391" s="108">
        <f t="shared" si="707"/>
        <v>0.17414488886959378</v>
      </c>
      <c r="AR391" s="108">
        <f t="shared" si="707"/>
        <v>5.2628666297731108E-2</v>
      </c>
      <c r="AS391" s="108">
        <f t="shared" si="707"/>
        <v>-0.167525157983341</v>
      </c>
      <c r="AT391" s="108">
        <f t="shared" si="707"/>
        <v>-1.2266051243548404E-2</v>
      </c>
      <c r="AU391" s="108">
        <f t="shared" si="707"/>
        <v>0.11189522026960441</v>
      </c>
      <c r="AV391" s="108">
        <f t="shared" si="708"/>
        <v>0.31896946616964894</v>
      </c>
      <c r="AW391" s="108">
        <f t="shared" si="708"/>
        <v>0.71110822476014945</v>
      </c>
      <c r="AX391" s="108">
        <f t="shared" si="708"/>
        <v>0.41612812333864957</v>
      </c>
      <c r="AY391" s="108">
        <f t="shared" si="708"/>
        <v>0.2365019605996812</v>
      </c>
      <c r="AZ391" s="108">
        <f t="shared" si="708"/>
        <v>0.18546861108015</v>
      </c>
      <c r="BA391" s="108">
        <f t="shared" si="708"/>
        <v>9.4732528902019331E-2</v>
      </c>
      <c r="BB391" s="108">
        <f t="shared" si="708"/>
        <v>1.2364936111873837E-2</v>
      </c>
      <c r="BC391" s="108">
        <f t="shared" si="708"/>
        <v>1.8639592291766149E-2</v>
      </c>
      <c r="BD391" s="108">
        <f t="shared" si="708"/>
        <v>5.9842254716956811E-2</v>
      </c>
      <c r="BE391" s="108">
        <f t="shared" si="708"/>
        <v>0.11432622240225832</v>
      </c>
      <c r="BF391" s="108">
        <f t="shared" si="708"/>
        <v>0.30045498928694458</v>
      </c>
      <c r="BG391" s="108">
        <f t="shared" si="708"/>
        <v>0.2643309134824201</v>
      </c>
      <c r="BH391" s="134" t="str">
        <f t="shared" si="710"/>
        <v>n/a</v>
      </c>
      <c r="BI391" s="134" t="str">
        <f t="shared" si="710"/>
        <v>n/a</v>
      </c>
      <c r="BJ391" s="134" t="str">
        <f t="shared" si="710"/>
        <v>n/a</v>
      </c>
      <c r="BK391" s="108"/>
      <c r="BL391" s="108"/>
      <c r="BM391" s="108"/>
      <c r="BN391" s="108"/>
      <c r="BO391" s="108"/>
      <c r="BP391" s="108"/>
      <c r="BQ391" s="108"/>
      <c r="BR391" s="108"/>
      <c r="BS391" s="108"/>
      <c r="BT391" s="108"/>
      <c r="BU391" s="108">
        <f t="shared" ref="BU391:CG391" si="713">+BU384/BT384-1</f>
        <v>0.45697318323009251</v>
      </c>
      <c r="BV391" s="108">
        <f t="shared" si="713"/>
        <v>0.22794843117236163</v>
      </c>
      <c r="BW391" s="108">
        <f t="shared" si="713"/>
        <v>0.48637379492598609</v>
      </c>
      <c r="BX391" s="108">
        <f t="shared" si="713"/>
        <v>0.28404017598107911</v>
      </c>
      <c r="BY391" s="108">
        <f t="shared" si="713"/>
        <v>0.12953887898543748</v>
      </c>
      <c r="BZ391" s="108">
        <f t="shared" si="713"/>
        <v>0.25353944270434248</v>
      </c>
      <c r="CA391" s="108">
        <f t="shared" si="713"/>
        <v>0.3353975120904773</v>
      </c>
      <c r="CB391" s="108">
        <f t="shared" si="713"/>
        <v>0.21644503578740459</v>
      </c>
      <c r="CC391" s="108">
        <f t="shared" si="713"/>
        <v>0.16377690329234462</v>
      </c>
      <c r="CD391" s="108">
        <f t="shared" si="713"/>
        <v>-7.8468482805527096E-4</v>
      </c>
      <c r="CE391" s="108">
        <f t="shared" si="713"/>
        <v>0.39708275497085488</v>
      </c>
      <c r="CF391" s="108">
        <f t="shared" si="713"/>
        <v>7.1840921930221846E-2</v>
      </c>
      <c r="CG391" s="108">
        <f t="shared" si="713"/>
        <v>0.18633758980438464</v>
      </c>
      <c r="CH391" s="108"/>
      <c r="CI391" s="108"/>
    </row>
    <row r="392" spans="2:87" x14ac:dyDescent="0.2">
      <c r="B392" s="101" t="s">
        <v>584</v>
      </c>
      <c r="E392" s="57"/>
      <c r="F392" s="57"/>
      <c r="G392" s="57"/>
      <c r="H392" s="106">
        <f t="shared" si="704"/>
        <v>0.15115228403230963</v>
      </c>
      <c r="I392" s="106">
        <f t="shared" si="704"/>
        <v>0.17885303229752547</v>
      </c>
      <c r="J392" s="106">
        <f t="shared" si="704"/>
        <v>0.18990897269180751</v>
      </c>
      <c r="K392" s="106">
        <f t="shared" si="704"/>
        <v>1.3475022622334576E-2</v>
      </c>
      <c r="L392" s="106">
        <f t="shared" si="704"/>
        <v>1.061497821438917E-2</v>
      </c>
      <c r="M392" s="106">
        <f t="shared" si="704"/>
        <v>-2.2640419480981278E-2</v>
      </c>
      <c r="N392" s="106">
        <f t="shared" si="704"/>
        <v>6.6803093360312316E-2</v>
      </c>
      <c r="O392" s="106">
        <f t="shared" si="704"/>
        <v>0.12377654261905846</v>
      </c>
      <c r="P392" s="106">
        <f t="shared" si="704"/>
        <v>0.15090281836895469</v>
      </c>
      <c r="Q392" s="106">
        <f t="shared" si="704"/>
        <v>0.3208288827173682</v>
      </c>
      <c r="R392" s="106">
        <f t="shared" si="705"/>
        <v>0.38580223634340882</v>
      </c>
      <c r="S392" s="106">
        <f t="shared" si="705"/>
        <v>0.50603451282894585</v>
      </c>
      <c r="T392" s="106">
        <f t="shared" si="705"/>
        <v>0.57433248776167423</v>
      </c>
      <c r="U392" s="106">
        <f t="shared" si="705"/>
        <v>0.46185175993383831</v>
      </c>
      <c r="V392" s="106">
        <f t="shared" si="705"/>
        <v>0.44488545493660303</v>
      </c>
      <c r="W392" s="106">
        <f t="shared" si="705"/>
        <v>0.3495067047128817</v>
      </c>
      <c r="X392" s="106">
        <f t="shared" si="705"/>
        <v>0.29295988724980626</v>
      </c>
      <c r="Y392" s="106">
        <f t="shared" si="705"/>
        <v>0.26519961608270748</v>
      </c>
      <c r="Z392" s="106">
        <f t="shared" si="705"/>
        <v>0.27803648004706671</v>
      </c>
      <c r="AA392" s="106">
        <f t="shared" si="705"/>
        <v>0.37289162847943857</v>
      </c>
      <c r="AB392" s="106">
        <f t="shared" si="706"/>
        <v>0.36987122880543022</v>
      </c>
      <c r="AC392" s="106">
        <f t="shared" si="706"/>
        <v>0.41957463318843002</v>
      </c>
      <c r="AD392" s="106">
        <f t="shared" si="706"/>
        <v>0.37523491409269139</v>
      </c>
      <c r="AE392" s="106">
        <f t="shared" si="706"/>
        <v>0.31665448810076757</v>
      </c>
      <c r="AF392" s="106">
        <f t="shared" si="706"/>
        <v>0.29173319512133955</v>
      </c>
      <c r="AG392" s="106">
        <f t="shared" si="706"/>
        <v>0.25420228186082383</v>
      </c>
      <c r="AH392" s="106">
        <f t="shared" si="706"/>
        <v>0.27670554757349053</v>
      </c>
      <c r="AI392" s="106">
        <f t="shared" si="706"/>
        <v>0.28528779618028777</v>
      </c>
      <c r="AJ392" s="106">
        <f t="shared" si="706"/>
        <v>0.31724591524365064</v>
      </c>
      <c r="AK392" s="106">
        <f t="shared" si="706"/>
        <v>0.26601482097480278</v>
      </c>
      <c r="AL392" s="106">
        <f t="shared" si="707"/>
        <v>0.2086813518026267</v>
      </c>
      <c r="AM392" s="106">
        <f t="shared" si="707"/>
        <v>0.19178097372101321</v>
      </c>
      <c r="AN392" s="106">
        <f t="shared" si="707"/>
        <v>0.16438331432846609</v>
      </c>
      <c r="AO392" s="106">
        <f t="shared" si="707"/>
        <v>0.17921437929469697</v>
      </c>
      <c r="AP392" s="106">
        <f t="shared" si="707"/>
        <v>0.18913799066426895</v>
      </c>
      <c r="AQ392" s="106">
        <f t="shared" si="707"/>
        <v>0.15645898783787993</v>
      </c>
      <c r="AR392" s="106">
        <f t="shared" si="707"/>
        <v>7.6882942018008826E-2</v>
      </c>
      <c r="AS392" s="106">
        <f t="shared" si="707"/>
        <v>-4.5314799021455299E-3</v>
      </c>
      <c r="AT392" s="106">
        <f t="shared" si="707"/>
        <v>9.130585451979778E-2</v>
      </c>
      <c r="AU392" s="106">
        <f t="shared" si="707"/>
        <v>0.1711590845367974</v>
      </c>
      <c r="AV392" s="106">
        <f t="shared" si="708"/>
        <v>0.31689805453916509</v>
      </c>
      <c r="AW392" s="106">
        <f t="shared" si="708"/>
        <v>0.43943971090272105</v>
      </c>
      <c r="AX392" s="106">
        <f t="shared" si="708"/>
        <v>0.24845817021703409</v>
      </c>
      <c r="AY392" s="106">
        <f t="shared" si="708"/>
        <v>0.14157195386029575</v>
      </c>
      <c r="AZ392" s="106">
        <f t="shared" si="708"/>
        <v>2.5345048692522187E-2</v>
      </c>
      <c r="BA392" s="106">
        <f t="shared" si="708"/>
        <v>-3.5615713922961034E-2</v>
      </c>
      <c r="BB392" s="106">
        <f t="shared" si="708"/>
        <v>-5.0804673686406177E-2</v>
      </c>
      <c r="BC392" s="106">
        <f t="shared" si="708"/>
        <v>-5.8282821925515038E-2</v>
      </c>
      <c r="BD392" s="106">
        <f t="shared" si="708"/>
        <v>2.2149558696580973E-2</v>
      </c>
      <c r="BE392" s="106">
        <f t="shared" si="708"/>
        <v>9.0976346723387724E-2</v>
      </c>
      <c r="BF392" s="106">
        <f t="shared" si="708"/>
        <v>0.19719815685970876</v>
      </c>
      <c r="BG392" s="106">
        <f t="shared" si="708"/>
        <v>0.19933998006645703</v>
      </c>
      <c r="BH392" s="164" t="str">
        <f t="shared" si="710"/>
        <v>n/a</v>
      </c>
      <c r="BI392" s="164" t="str">
        <f t="shared" si="710"/>
        <v>n/a</v>
      </c>
      <c r="BJ392" s="164" t="str">
        <f t="shared" si="710"/>
        <v>n/a</v>
      </c>
      <c r="BK392" s="106"/>
      <c r="BL392" s="106"/>
      <c r="BM392" s="106"/>
      <c r="BN392" s="106"/>
      <c r="BO392" s="106"/>
      <c r="BP392" s="106"/>
      <c r="BQ392" s="106"/>
      <c r="BR392" s="106"/>
      <c r="BS392" s="106"/>
      <c r="BT392" s="106"/>
      <c r="BU392" s="106">
        <f t="shared" ref="BU392:CG392" si="714">+BU385/BT385-1</f>
        <v>0.12575496421994803</v>
      </c>
      <c r="BV392" s="106">
        <f t="shared" si="714"/>
        <v>4.6166788290983307E-2</v>
      </c>
      <c r="BW392" s="106">
        <f t="shared" si="714"/>
        <v>0.3523792958943448</v>
      </c>
      <c r="BX392" s="106">
        <f t="shared" si="714"/>
        <v>0.442846483155654</v>
      </c>
      <c r="BY392" s="106">
        <f t="shared" si="714"/>
        <v>0.30661577360397096</v>
      </c>
      <c r="BZ392" s="106">
        <f t="shared" si="714"/>
        <v>0.36580025581801978</v>
      </c>
      <c r="CA392" s="106">
        <f t="shared" si="714"/>
        <v>0.27705131429160113</v>
      </c>
      <c r="CB392" s="106">
        <f t="shared" si="714"/>
        <v>0.23958047024323781</v>
      </c>
      <c r="CC392" s="106">
        <f t="shared" si="714"/>
        <v>0.17164533553426042</v>
      </c>
      <c r="CD392" s="106">
        <f t="shared" si="714"/>
        <v>8.8279007759763495E-2</v>
      </c>
      <c r="CE392" s="106">
        <f t="shared" si="714"/>
        <v>0.27198510558845457</v>
      </c>
      <c r="CF392" s="106">
        <f t="shared" si="714"/>
        <v>-3.1931932043234634E-2</v>
      </c>
      <c r="CG392" s="106">
        <f t="shared" si="714"/>
        <v>0.12956016801251025</v>
      </c>
      <c r="CH392" s="106"/>
      <c r="CI392" s="106"/>
    </row>
    <row r="393" spans="2:87" x14ac:dyDescent="0.2">
      <c r="B393" s="101"/>
      <c r="E393" s="57"/>
      <c r="F393" s="57"/>
      <c r="G393" s="57"/>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c r="AD393" s="106"/>
      <c r="AE393" s="106"/>
      <c r="AF393" s="106"/>
      <c r="AG393" s="106"/>
      <c r="AH393" s="106"/>
      <c r="AI393" s="106"/>
      <c r="AJ393" s="106"/>
      <c r="AK393" s="106"/>
      <c r="AL393" s="106"/>
      <c r="AM393" s="106"/>
      <c r="AN393" s="106"/>
      <c r="AO393" s="106"/>
      <c r="AP393" s="106"/>
      <c r="AQ393" s="106"/>
      <c r="AR393" s="106"/>
      <c r="AS393" s="106"/>
      <c r="AT393" s="106"/>
      <c r="AU393" s="106"/>
      <c r="AV393" s="106"/>
      <c r="AW393" s="106"/>
      <c r="AX393" s="106"/>
      <c r="AY393" s="106"/>
      <c r="AZ393" s="106"/>
      <c r="BA393" s="106"/>
      <c r="BB393" s="106"/>
      <c r="BC393" s="106"/>
      <c r="BD393" s="106"/>
      <c r="BE393" s="106"/>
      <c r="BF393" s="106"/>
      <c r="BG393" s="106"/>
      <c r="BH393" s="106"/>
      <c r="BI393" s="106"/>
      <c r="BJ393" s="106"/>
      <c r="BK393" s="106"/>
      <c r="BL393" s="106"/>
      <c r="BM393" s="106"/>
      <c r="BN393" s="106"/>
      <c r="BO393" s="106"/>
      <c r="BP393" s="106"/>
      <c r="BQ393" s="106"/>
      <c r="BR393" s="106"/>
      <c r="BS393" s="106"/>
      <c r="BT393" s="106"/>
      <c r="BU393" s="106"/>
      <c r="BV393" s="106"/>
      <c r="BW393" s="106"/>
      <c r="BX393" s="106"/>
      <c r="BY393" s="106"/>
      <c r="BZ393" s="106"/>
      <c r="CA393" s="106"/>
      <c r="CB393" s="106"/>
      <c r="CC393" s="106"/>
      <c r="CD393" s="106"/>
      <c r="CE393" s="68"/>
      <c r="CF393" s="68"/>
      <c r="CG393" s="68"/>
      <c r="CH393" s="68"/>
      <c r="CI393" s="68"/>
    </row>
    <row r="394" spans="2:87" x14ac:dyDescent="0.2">
      <c r="B394" s="54" t="s">
        <v>585</v>
      </c>
      <c r="E394" s="57"/>
      <c r="F394" s="57"/>
      <c r="G394" s="57"/>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c r="AD394" s="106"/>
      <c r="AE394" s="106"/>
      <c r="AF394" s="106"/>
      <c r="AG394" s="106"/>
      <c r="AH394" s="106"/>
      <c r="AI394" s="106"/>
      <c r="AJ394" s="106"/>
      <c r="AK394" s="106"/>
      <c r="AL394" s="106"/>
      <c r="AM394" s="106"/>
      <c r="AN394" s="106"/>
      <c r="AO394" s="106"/>
      <c r="AP394" s="106"/>
      <c r="AQ394" s="106"/>
      <c r="AR394" s="106"/>
      <c r="AS394" s="106"/>
      <c r="AT394" s="106"/>
      <c r="AU394" s="106"/>
      <c r="AV394" s="106"/>
      <c r="AW394" s="106"/>
      <c r="AX394" s="106"/>
      <c r="AY394" s="106"/>
      <c r="AZ394" s="106"/>
      <c r="BA394" s="106"/>
      <c r="BB394" s="106"/>
      <c r="BC394" s="106"/>
      <c r="BD394" s="106"/>
      <c r="BE394" s="106"/>
      <c r="BF394" s="106"/>
      <c r="BG394" s="106"/>
      <c r="BH394" s="106"/>
      <c r="BI394" s="106"/>
      <c r="BJ394" s="106"/>
      <c r="BK394" s="106"/>
      <c r="BL394" s="106"/>
      <c r="BM394" s="106"/>
      <c r="BN394" s="106"/>
      <c r="BO394" s="106"/>
      <c r="BP394" s="106"/>
      <c r="BQ394" s="106"/>
      <c r="BR394" s="106"/>
      <c r="BS394" s="106"/>
      <c r="BT394" s="106"/>
      <c r="BU394" s="106"/>
      <c r="BV394" s="106"/>
      <c r="BW394" s="106"/>
      <c r="BX394" s="106"/>
      <c r="BY394" s="106"/>
      <c r="BZ394" s="106"/>
      <c r="CA394" s="106"/>
      <c r="CB394" s="106"/>
      <c r="CC394" s="106"/>
      <c r="CD394" s="106"/>
      <c r="CE394" s="68"/>
      <c r="CF394" s="68"/>
      <c r="CG394" s="68"/>
      <c r="CH394" s="68"/>
      <c r="CI394" s="68"/>
    </row>
    <row r="395" spans="2:87" x14ac:dyDescent="0.2">
      <c r="B395" t="s">
        <v>264</v>
      </c>
      <c r="E395" s="57"/>
      <c r="F395" s="57"/>
      <c r="G395" s="57"/>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c r="AD395" s="106"/>
      <c r="AE395" s="106"/>
      <c r="AF395" s="106"/>
      <c r="AG395" s="106"/>
      <c r="AH395" s="106"/>
      <c r="AI395" s="106"/>
      <c r="AJ395" s="106"/>
      <c r="AK395" s="106"/>
      <c r="AL395" s="106"/>
      <c r="AM395" s="106"/>
      <c r="AN395" s="56">
        <f t="shared" ref="AN395:BG395" si="715">+AN228/(AVERAGE(AM351:AN351)*1000)</f>
        <v>5.6574108818011259</v>
      </c>
      <c r="AO395" s="56">
        <f t="shared" si="715"/>
        <v>6.1966972477064228</v>
      </c>
      <c r="AP395" s="56">
        <f t="shared" si="715"/>
        <v>6.3268817204301078</v>
      </c>
      <c r="AQ395" s="56">
        <f t="shared" si="715"/>
        <v>7.3842381786339759</v>
      </c>
      <c r="AR395" s="56">
        <f t="shared" si="715"/>
        <v>6.0329931972789108</v>
      </c>
      <c r="AS395" s="56">
        <f t="shared" si="715"/>
        <v>6.0969004893964103</v>
      </c>
      <c r="AT395" s="56">
        <f t="shared" si="715"/>
        <v>6.7622047244094485</v>
      </c>
      <c r="AU395" s="56">
        <f t="shared" si="715"/>
        <v>8.6242703533026113</v>
      </c>
      <c r="AV395" s="56">
        <f t="shared" si="715"/>
        <v>7.7543703703703706</v>
      </c>
      <c r="AW395" s="56">
        <f t="shared" si="715"/>
        <v>8.3554597701149422</v>
      </c>
      <c r="AX395" s="56">
        <f t="shared" si="715"/>
        <v>8.1833568406205917</v>
      </c>
      <c r="AY395" s="56">
        <f t="shared" si="715"/>
        <v>9.3921896792189674</v>
      </c>
      <c r="AZ395" s="56">
        <f t="shared" si="715"/>
        <v>7.7200553250345783</v>
      </c>
      <c r="BA395" s="56">
        <f t="shared" si="715"/>
        <v>7.9072702331961588</v>
      </c>
      <c r="BB395" s="56">
        <f t="shared" si="715"/>
        <v>7.5309782608695661</v>
      </c>
      <c r="BC395" s="56">
        <f t="shared" si="715"/>
        <v>8.6348993288590599</v>
      </c>
      <c r="BD395" s="56">
        <f t="shared" si="715"/>
        <v>7.5880794701986742</v>
      </c>
      <c r="BE395" s="56">
        <f t="shared" si="715"/>
        <v>8.3222366710013009</v>
      </c>
      <c r="BF395" s="56">
        <f t="shared" si="715"/>
        <v>8.7107142857142854</v>
      </c>
      <c r="BG395" s="56">
        <f t="shared" si="715"/>
        <v>10.103526448362722</v>
      </c>
      <c r="BH395" s="217" t="str">
        <f>+IFERROR(BH228/((BH351+BG351)/2),"n/a")</f>
        <v>n/a</v>
      </c>
      <c r="BI395" s="217" t="str">
        <f>+IFERROR(BI228/((BI351+BH351)/2),"n/a")</f>
        <v>n/a</v>
      </c>
      <c r="BJ395" s="217" t="str">
        <f>+IFERROR(BJ228/((BJ351+BI351)/2),"n/a")</f>
        <v>n/a</v>
      </c>
      <c r="BK395" s="56"/>
      <c r="BL395" s="56"/>
      <c r="BM395" s="56"/>
      <c r="BN395" s="56"/>
      <c r="BO395" s="56"/>
      <c r="BP395" s="106"/>
      <c r="BQ395" s="106"/>
      <c r="BR395" s="106"/>
      <c r="BS395" s="106"/>
      <c r="BT395" s="106"/>
      <c r="BU395" s="106"/>
      <c r="BV395" s="106"/>
      <c r="BW395" s="106"/>
      <c r="BX395" s="106"/>
      <c r="BY395" s="106"/>
      <c r="BZ395" s="106"/>
      <c r="CA395" s="106"/>
      <c r="CB395" s="106"/>
      <c r="CC395" s="56">
        <f>+SUM(AN395:AQ395)</f>
        <v>25.565228028571632</v>
      </c>
      <c r="CD395" s="56">
        <f>+SUM(AR395:AU395)</f>
        <v>27.51636876438738</v>
      </c>
      <c r="CE395" s="56">
        <f>+SUM(AV395:AY395)</f>
        <v>33.68537666032487</v>
      </c>
      <c r="CF395" s="56">
        <f>+SUM(AZ395:BC395)</f>
        <v>31.793203147959364</v>
      </c>
      <c r="CG395" s="56">
        <f>+SUM(BD395:BG395)</f>
        <v>34.724556875276981</v>
      </c>
      <c r="CH395" s="56"/>
      <c r="CI395" s="56"/>
    </row>
    <row r="396" spans="2:87" x14ac:dyDescent="0.2">
      <c r="B396" t="s">
        <v>218</v>
      </c>
      <c r="E396" s="57"/>
      <c r="F396" s="57"/>
      <c r="G396" s="57"/>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c r="AD396" s="106"/>
      <c r="AE396" s="106"/>
      <c r="AF396" s="106"/>
      <c r="AG396" s="106"/>
      <c r="AH396" s="106"/>
      <c r="AI396" s="106"/>
      <c r="AJ396" s="106"/>
      <c r="AK396" s="106"/>
      <c r="AL396" s="106"/>
      <c r="AM396" s="106"/>
      <c r="AN396" s="56">
        <f t="shared" ref="AN396:BG396" si="716">+AN256/(AVERAGE(AM351:AN351)*1000)</f>
        <v>5.5954971857410882</v>
      </c>
      <c r="AO396" s="56">
        <f t="shared" si="716"/>
        <v>6.1005504587155972</v>
      </c>
      <c r="AP396" s="56">
        <f t="shared" si="716"/>
        <v>6.2304659498207888</v>
      </c>
      <c r="AQ396" s="56">
        <f t="shared" si="716"/>
        <v>7.2630472854640979</v>
      </c>
      <c r="AR396" s="56">
        <f t="shared" si="716"/>
        <v>5.9319727891156457</v>
      </c>
      <c r="AS396" s="56">
        <f t="shared" si="716"/>
        <v>5.9774877650897213</v>
      </c>
      <c r="AT396" s="56">
        <f t="shared" si="716"/>
        <v>6.6837795275590555</v>
      </c>
      <c r="AU396" s="56">
        <f t="shared" si="716"/>
        <v>8.3523809523809529</v>
      </c>
      <c r="AV396" s="56">
        <f t="shared" si="716"/>
        <v>7.5374814814814819</v>
      </c>
      <c r="AW396" s="56">
        <f t="shared" si="716"/>
        <v>8.2126436781609193</v>
      </c>
      <c r="AX396" s="56">
        <f t="shared" si="716"/>
        <v>7.9763046544428775</v>
      </c>
      <c r="AY396" s="56">
        <f t="shared" si="716"/>
        <v>9.1043235704323564</v>
      </c>
      <c r="AZ396" s="56">
        <f t="shared" si="716"/>
        <v>7.4683264177040112</v>
      </c>
      <c r="BA396" s="56">
        <f t="shared" si="716"/>
        <v>7.723456790123457</v>
      </c>
      <c r="BB396" s="56">
        <f t="shared" si="716"/>
        <v>7.4013586956521751</v>
      </c>
      <c r="BC396" s="56">
        <f t="shared" si="716"/>
        <v>8.3903355704697979</v>
      </c>
      <c r="BD396" s="56">
        <f t="shared" si="716"/>
        <v>7.443973509933774</v>
      </c>
      <c r="BE396" s="56">
        <f t="shared" si="716"/>
        <v>8.1919375812743827</v>
      </c>
      <c r="BF396" s="56">
        <f t="shared" si="716"/>
        <v>8.5823979591836732</v>
      </c>
      <c r="BG396" s="56">
        <f t="shared" si="716"/>
        <v>9.7496221662468532</v>
      </c>
      <c r="BH396" s="217" t="str">
        <f>+IFERROR(BH256/((BH351+BG351)/2),"n/a")</f>
        <v>n/a</v>
      </c>
      <c r="BI396" s="217" t="str">
        <f>+IFERROR(BI256/((BI351+BH351)/2),"n/a")</f>
        <v>n/a</v>
      </c>
      <c r="BJ396" s="217" t="str">
        <f>+IFERROR(BJ256/((BJ351+BI351)/2),"n/a")</f>
        <v>n/a</v>
      </c>
      <c r="BK396" s="56"/>
      <c r="BL396" s="56"/>
      <c r="BM396" s="56"/>
      <c r="BN396" s="56"/>
      <c r="BO396" s="56"/>
      <c r="BP396" s="106"/>
      <c r="BQ396" s="106"/>
      <c r="BR396" s="106"/>
      <c r="BS396" s="106"/>
      <c r="BT396" s="106"/>
      <c r="BU396" s="106"/>
      <c r="BV396" s="106"/>
      <c r="BW396" s="106"/>
      <c r="BX396" s="106"/>
      <c r="BY396" s="106"/>
      <c r="BZ396" s="106"/>
      <c r="CA396" s="106"/>
      <c r="CB396" s="106"/>
      <c r="CC396" s="56">
        <f>+SUM(AN396:AQ396)</f>
        <v>25.18956087974157</v>
      </c>
      <c r="CD396" s="56">
        <f>+SUM(AR396:AU396)</f>
        <v>26.945621034145375</v>
      </c>
      <c r="CE396" s="56">
        <f>+SUM(AV396:AY396)</f>
        <v>32.830753384517635</v>
      </c>
      <c r="CF396" s="56">
        <f>+SUM(AZ396:BC396)</f>
        <v>30.983477473949442</v>
      </c>
      <c r="CG396" s="56">
        <f>+SUM(BD396:BG396)</f>
        <v>33.967931216638682</v>
      </c>
      <c r="CH396" s="56"/>
      <c r="CI396" s="56"/>
    </row>
    <row r="397" spans="2:87" x14ac:dyDescent="0.2">
      <c r="E397" s="57"/>
      <c r="F397" s="57"/>
      <c r="G397" s="57"/>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c r="AD397" s="106"/>
      <c r="AE397" s="106"/>
      <c r="AF397" s="106"/>
      <c r="AG397" s="106"/>
      <c r="AH397" s="106"/>
      <c r="AI397" s="106"/>
      <c r="AJ397" s="106"/>
      <c r="AK397" s="106"/>
      <c r="AL397" s="106"/>
      <c r="AM397" s="106"/>
      <c r="AN397" s="106"/>
      <c r="AO397" s="106"/>
      <c r="AP397" s="106"/>
      <c r="AQ397" s="106"/>
      <c r="AR397" s="106"/>
      <c r="AS397" s="106"/>
      <c r="AT397" s="106"/>
      <c r="AU397" s="106"/>
      <c r="AV397" s="106"/>
      <c r="AW397" s="106"/>
      <c r="AX397" s="106"/>
      <c r="AY397" s="106"/>
      <c r="AZ397" s="106"/>
      <c r="BA397" s="106"/>
      <c r="BB397" s="106"/>
      <c r="BC397" s="106"/>
      <c r="BD397" s="106"/>
      <c r="BE397" s="106"/>
      <c r="BF397" s="106"/>
      <c r="BG397" s="106"/>
      <c r="BH397" s="106"/>
      <c r="BI397" s="106"/>
      <c r="BJ397" s="106"/>
      <c r="BK397" s="106"/>
      <c r="BL397" s="106"/>
      <c r="BM397" s="106"/>
      <c r="BN397" s="106"/>
      <c r="BO397" s="106"/>
      <c r="BP397" s="106"/>
      <c r="BQ397" s="106"/>
      <c r="BR397" s="106"/>
      <c r="BS397" s="106"/>
      <c r="BT397" s="106"/>
      <c r="BU397" s="106"/>
      <c r="BV397" s="106"/>
      <c r="BW397" s="106"/>
      <c r="BX397" s="106"/>
      <c r="BY397" s="106"/>
      <c r="BZ397" s="106"/>
      <c r="CA397" s="106"/>
      <c r="CB397" s="106"/>
      <c r="CC397" s="106"/>
      <c r="CD397" s="106"/>
      <c r="CE397" s="68"/>
      <c r="CF397" s="68"/>
      <c r="CG397" s="68"/>
      <c r="CH397" s="68"/>
      <c r="CI397" s="68"/>
    </row>
    <row r="398" spans="2:87" x14ac:dyDescent="0.2">
      <c r="B398" s="62" t="s">
        <v>17</v>
      </c>
      <c r="E398" s="57"/>
      <c r="F398" s="57"/>
      <c r="G398" s="57"/>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c r="AD398" s="106"/>
      <c r="AE398" s="106"/>
      <c r="AF398" s="106"/>
      <c r="AG398" s="106"/>
      <c r="AH398" s="106"/>
      <c r="AI398" s="106"/>
      <c r="AJ398" s="106"/>
      <c r="AK398" s="106"/>
      <c r="AL398" s="106"/>
      <c r="AM398" s="106"/>
      <c r="AN398" s="106"/>
      <c r="AO398" s="106"/>
      <c r="AP398" s="106"/>
      <c r="AQ398" s="106"/>
      <c r="AR398" s="106"/>
      <c r="AS398" s="106"/>
      <c r="AT398" s="106"/>
      <c r="AU398" s="106"/>
      <c r="AV398" s="106"/>
      <c r="AW398" s="106"/>
      <c r="AX398" s="106"/>
      <c r="AY398" s="106"/>
      <c r="AZ398" s="106"/>
      <c r="BA398" s="106"/>
      <c r="BB398" s="106"/>
      <c r="BC398" s="106"/>
      <c r="BD398" s="106"/>
      <c r="BE398" s="106"/>
      <c r="BF398" s="106"/>
      <c r="BG398" s="106"/>
      <c r="BH398" s="106"/>
      <c r="BI398" s="106"/>
      <c r="BJ398" s="106"/>
      <c r="BK398" s="106"/>
      <c r="BL398" s="106"/>
      <c r="BM398" s="106"/>
      <c r="BN398" s="106"/>
      <c r="BO398" s="106"/>
      <c r="BP398" s="106"/>
      <c r="BQ398" s="106"/>
      <c r="BR398" s="106"/>
      <c r="BS398" s="106"/>
      <c r="BT398" s="106"/>
      <c r="BU398" s="106"/>
      <c r="BV398" s="106"/>
      <c r="BW398" s="106"/>
      <c r="BX398" s="106"/>
      <c r="BY398" s="106"/>
      <c r="BZ398" s="106"/>
      <c r="CA398" s="106"/>
      <c r="CB398" s="106"/>
      <c r="CC398" s="106"/>
      <c r="CD398" s="106"/>
      <c r="CE398" s="68"/>
      <c r="CF398" s="68"/>
      <c r="CG398" s="68"/>
      <c r="CH398" s="68"/>
      <c r="CI398" s="68"/>
    </row>
    <row r="399" spans="2:87" x14ac:dyDescent="0.2">
      <c r="B399" s="60" t="s">
        <v>264</v>
      </c>
      <c r="E399" s="57"/>
      <c r="F399" s="57"/>
      <c r="G399" s="57"/>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c r="AD399" s="106"/>
      <c r="AE399" s="106"/>
      <c r="AF399" s="106"/>
      <c r="AG399" s="106"/>
      <c r="AH399" s="106"/>
      <c r="AI399" s="106"/>
      <c r="AJ399" s="106"/>
      <c r="AK399" s="106"/>
      <c r="AL399" s="106"/>
      <c r="AM399" s="106"/>
      <c r="AN399" s="106"/>
      <c r="AO399" s="106"/>
      <c r="AP399" s="106"/>
      <c r="AQ399" s="106"/>
      <c r="AR399" s="106">
        <f t="shared" ref="AR399:BG400" si="717">+AR395/AN395-1</f>
        <v>6.6387668020713386E-2</v>
      </c>
      <c r="AS399" s="106">
        <f t="shared" si="717"/>
        <v>-1.6104830415420102E-2</v>
      </c>
      <c r="AT399" s="106">
        <f t="shared" si="717"/>
        <v>6.8805301444729183E-2</v>
      </c>
      <c r="AU399" s="106">
        <f t="shared" si="717"/>
        <v>0.16792960149316727</v>
      </c>
      <c r="AV399" s="106">
        <f t="shared" si="717"/>
        <v>0.28532721930929084</v>
      </c>
      <c r="AW399" s="106">
        <f t="shared" si="717"/>
        <v>0.37044384841880995</v>
      </c>
      <c r="AX399" s="106">
        <f t="shared" si="717"/>
        <v>0.21016106050164796</v>
      </c>
      <c r="AY399" s="106">
        <f t="shared" si="717"/>
        <v>8.9041657375952488E-2</v>
      </c>
      <c r="AZ399" s="106">
        <f t="shared" si="717"/>
        <v>-4.4252523024835844E-3</v>
      </c>
      <c r="BA399" s="106">
        <f t="shared" si="717"/>
        <v>-5.3640320131972619E-2</v>
      </c>
      <c r="BB399" s="106">
        <f t="shared" si="717"/>
        <v>-7.9720167708286271E-2</v>
      </c>
      <c r="BC399" s="106">
        <f t="shared" si="717"/>
        <v>-8.0629797334212494E-2</v>
      </c>
      <c r="BD399" s="106">
        <f t="shared" si="717"/>
        <v>-1.7095195471971913E-2</v>
      </c>
      <c r="BE399" s="106">
        <f t="shared" si="717"/>
        <v>5.2479101582115772E-2</v>
      </c>
      <c r="BF399" s="106">
        <f t="shared" si="717"/>
        <v>0.15665109949587097</v>
      </c>
      <c r="BG399" s="106">
        <f t="shared" si="717"/>
        <v>0.17008039857457291</v>
      </c>
      <c r="BH399" s="164" t="str">
        <f t="shared" ref="BH399:BJ400" si="718">+IFERROR(BH395/BD395-1,"n/a")</f>
        <v>n/a</v>
      </c>
      <c r="BI399" s="164" t="str">
        <f t="shared" si="718"/>
        <v>n/a</v>
      </c>
      <c r="BJ399" s="164" t="str">
        <f t="shared" si="718"/>
        <v>n/a</v>
      </c>
      <c r="BK399" s="106"/>
      <c r="BL399" s="106"/>
      <c r="BM399" s="106"/>
      <c r="BN399" s="106"/>
      <c r="BO399" s="106"/>
      <c r="BP399" s="106"/>
      <c r="BQ399" s="106"/>
      <c r="BR399" s="106"/>
      <c r="BS399" s="106"/>
      <c r="BT399" s="106"/>
      <c r="BU399" s="106"/>
      <c r="BV399" s="106"/>
      <c r="BW399" s="106"/>
      <c r="BX399" s="106"/>
      <c r="BY399" s="106"/>
      <c r="BZ399" s="106"/>
      <c r="CA399" s="106"/>
      <c r="CB399" s="106"/>
      <c r="CC399" s="106"/>
      <c r="CD399" s="106">
        <f t="shared" ref="CD399:CG400" si="719">+CD395/CC395-1</f>
        <v>7.6320099067184399E-2</v>
      </c>
      <c r="CE399" s="106">
        <f t="shared" si="719"/>
        <v>0.22419411328436722</v>
      </c>
      <c r="CF399" s="106">
        <f t="shared" si="719"/>
        <v>-5.6171956497495068E-2</v>
      </c>
      <c r="CG399" s="106">
        <f t="shared" si="719"/>
        <v>9.2200641554601059E-2</v>
      </c>
      <c r="CH399" s="106"/>
      <c r="CI399" s="106"/>
    </row>
    <row r="400" spans="2:87" x14ac:dyDescent="0.2">
      <c r="B400" s="60" t="s">
        <v>218</v>
      </c>
      <c r="E400" s="57"/>
      <c r="F400" s="57"/>
      <c r="G400" s="57"/>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c r="AE400" s="106"/>
      <c r="AF400" s="106"/>
      <c r="AG400" s="106"/>
      <c r="AH400" s="106"/>
      <c r="AI400" s="106"/>
      <c r="AJ400" s="106"/>
      <c r="AK400" s="106"/>
      <c r="AL400" s="106"/>
      <c r="AM400" s="106"/>
      <c r="AN400" s="106"/>
      <c r="AO400" s="106"/>
      <c r="AP400" s="106"/>
      <c r="AQ400" s="106"/>
      <c r="AR400" s="106">
        <f t="shared" si="717"/>
        <v>6.0133280780123144E-2</v>
      </c>
      <c r="AS400" s="106">
        <f t="shared" si="717"/>
        <v>-2.017239173066121E-2</v>
      </c>
      <c r="AT400" s="106">
        <f t="shared" si="717"/>
        <v>7.2757572449505981E-2</v>
      </c>
      <c r="AU400" s="106">
        <f t="shared" si="717"/>
        <v>0.14998300631981198</v>
      </c>
      <c r="AV400" s="106">
        <f t="shared" si="717"/>
        <v>0.27065341488277284</v>
      </c>
      <c r="AW400" s="106">
        <f t="shared" si="717"/>
        <v>0.37392898169113176</v>
      </c>
      <c r="AX400" s="106">
        <f t="shared" si="717"/>
        <v>0.19338237019255144</v>
      </c>
      <c r="AY400" s="106">
        <f t="shared" si="717"/>
        <v>9.0027337394979812E-2</v>
      </c>
      <c r="AZ400" s="106">
        <f t="shared" si="717"/>
        <v>-9.1748237056866744E-3</v>
      </c>
      <c r="BA400" s="106">
        <f t="shared" si="717"/>
        <v>-5.9565093434932437E-2</v>
      </c>
      <c r="BB400" s="106">
        <f t="shared" si="717"/>
        <v>-7.2081745081094883E-2</v>
      </c>
      <c r="BC400" s="106">
        <f t="shared" si="717"/>
        <v>-7.8422959645386592E-2</v>
      </c>
      <c r="BD400" s="106">
        <f t="shared" si="717"/>
        <v>-3.2608253051857883E-3</v>
      </c>
      <c r="BE400" s="106">
        <f t="shared" si="717"/>
        <v>6.0656879928428609E-2</v>
      </c>
      <c r="BF400" s="106">
        <f t="shared" si="717"/>
        <v>0.15957060211462037</v>
      </c>
      <c r="BG400" s="106">
        <f t="shared" si="717"/>
        <v>0.16200622541977117</v>
      </c>
      <c r="BH400" s="164" t="str">
        <f t="shared" si="718"/>
        <v>n/a</v>
      </c>
      <c r="BI400" s="164" t="str">
        <f t="shared" si="718"/>
        <v>n/a</v>
      </c>
      <c r="BJ400" s="164" t="str">
        <f t="shared" si="718"/>
        <v>n/a</v>
      </c>
      <c r="BK400" s="106"/>
      <c r="BL400" s="106"/>
      <c r="BM400" s="106"/>
      <c r="BN400" s="106"/>
      <c r="BO400" s="106"/>
      <c r="BP400" s="106"/>
      <c r="BQ400" s="106"/>
      <c r="BR400" s="106"/>
      <c r="BS400" s="106"/>
      <c r="BT400" s="106"/>
      <c r="BU400" s="106"/>
      <c r="BV400" s="106"/>
      <c r="BW400" s="106"/>
      <c r="BX400" s="106"/>
      <c r="BY400" s="106"/>
      <c r="BZ400" s="106"/>
      <c r="CA400" s="106"/>
      <c r="CB400" s="106"/>
      <c r="CC400" s="106"/>
      <c r="CD400" s="106">
        <f t="shared" si="719"/>
        <v>6.9713805762136039E-2</v>
      </c>
      <c r="CE400" s="106">
        <f t="shared" si="719"/>
        <v>0.21840774584169531</v>
      </c>
      <c r="CF400" s="106">
        <f t="shared" si="719"/>
        <v>-5.6266631744105289E-2</v>
      </c>
      <c r="CG400" s="106">
        <f t="shared" si="719"/>
        <v>9.6324040618053219E-2</v>
      </c>
      <c r="CH400" s="106"/>
      <c r="CI400" s="106"/>
    </row>
    <row r="401" spans="2:87" x14ac:dyDescent="0.2">
      <c r="B401" s="60"/>
      <c r="E401" s="57"/>
      <c r="F401" s="57"/>
      <c r="G401" s="57"/>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c r="AE401" s="106"/>
      <c r="AF401" s="106"/>
      <c r="AG401" s="106"/>
      <c r="AH401" s="106"/>
      <c r="AI401" s="106"/>
      <c r="AJ401" s="106"/>
      <c r="AK401" s="106"/>
      <c r="AL401" s="106"/>
      <c r="AM401" s="106"/>
      <c r="AN401" s="106"/>
      <c r="AO401" s="106"/>
      <c r="AP401" s="106"/>
      <c r="AQ401" s="106"/>
      <c r="AR401" s="106"/>
      <c r="AS401" s="106"/>
      <c r="AT401" s="106"/>
      <c r="AU401" s="106"/>
      <c r="AV401" s="106"/>
      <c r="AW401" s="106"/>
      <c r="AX401" s="106"/>
      <c r="AY401" s="106"/>
      <c r="AZ401" s="106"/>
      <c r="BA401" s="106"/>
      <c r="BB401" s="106"/>
      <c r="BC401" s="106"/>
      <c r="BD401" s="106"/>
      <c r="BE401" s="106"/>
      <c r="BF401" s="106"/>
      <c r="BG401" s="106"/>
      <c r="BH401" s="164"/>
      <c r="BI401" s="164"/>
      <c r="BJ401" s="164"/>
      <c r="BK401" s="106"/>
      <c r="BL401" s="106"/>
      <c r="BM401" s="106"/>
      <c r="BN401" s="106"/>
      <c r="BO401" s="106"/>
      <c r="BP401" s="106"/>
      <c r="BQ401" s="106"/>
      <c r="BR401" s="106"/>
      <c r="BS401" s="106"/>
      <c r="BT401" s="106"/>
      <c r="BU401" s="106"/>
      <c r="BV401" s="106"/>
      <c r="BW401" s="106"/>
      <c r="BX401" s="106"/>
      <c r="BY401" s="106"/>
      <c r="BZ401" s="106"/>
      <c r="CA401" s="106"/>
      <c r="CB401" s="106"/>
      <c r="CC401" s="106"/>
      <c r="CD401" s="106"/>
      <c r="CE401" s="106"/>
      <c r="CF401" s="106"/>
      <c r="CG401" s="106"/>
      <c r="CH401" s="106"/>
      <c r="CI401" s="106"/>
    </row>
    <row r="402" spans="2:87" x14ac:dyDescent="0.2">
      <c r="B402" s="54" t="s">
        <v>586</v>
      </c>
      <c r="E402" s="57"/>
      <c r="F402" s="57"/>
      <c r="G402" s="57"/>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c r="AD402" s="106"/>
      <c r="AE402" s="106"/>
      <c r="AF402" s="106"/>
      <c r="AG402" s="106"/>
      <c r="AH402" s="106"/>
      <c r="AI402" s="106"/>
      <c r="AJ402" s="106"/>
      <c r="AK402" s="106"/>
      <c r="AL402" s="106"/>
      <c r="AM402" s="106"/>
      <c r="AN402" s="106"/>
      <c r="AO402" s="106"/>
      <c r="AP402" s="106"/>
      <c r="AQ402" s="106"/>
      <c r="AR402" s="106"/>
      <c r="AS402" s="106"/>
      <c r="AT402" s="106"/>
      <c r="AU402" s="106"/>
      <c r="AV402" s="106"/>
      <c r="AW402" s="106"/>
      <c r="AX402" s="106"/>
      <c r="AY402" s="106"/>
      <c r="AZ402" s="106"/>
      <c r="BA402" s="106"/>
      <c r="BB402" s="106"/>
      <c r="BC402" s="106"/>
      <c r="BD402" s="106"/>
      <c r="BE402" s="106"/>
      <c r="BF402" s="106"/>
      <c r="BG402" s="106"/>
      <c r="BH402" s="106"/>
      <c r="BI402" s="106"/>
      <c r="BJ402" s="106"/>
      <c r="BK402" s="106"/>
      <c r="BL402" s="106"/>
      <c r="BM402" s="106"/>
      <c r="BN402" s="106"/>
      <c r="BO402" s="106"/>
      <c r="BP402" s="106"/>
      <c r="BQ402" s="106"/>
      <c r="BR402" s="106"/>
      <c r="BS402" s="106"/>
      <c r="BT402" s="106"/>
      <c r="BU402" s="106"/>
      <c r="BV402" s="106"/>
      <c r="BW402" s="106"/>
      <c r="BX402" s="106"/>
      <c r="BY402" s="106"/>
      <c r="BZ402" s="106"/>
      <c r="CA402" s="106"/>
      <c r="CB402" s="106"/>
      <c r="CC402" s="106"/>
      <c r="CD402" s="106"/>
      <c r="CE402" s="68"/>
      <c r="CF402" s="68"/>
      <c r="CG402" s="68"/>
      <c r="CH402" s="68"/>
      <c r="CI402" s="68"/>
    </row>
    <row r="403" spans="2:87" x14ac:dyDescent="0.2">
      <c r="B403" t="s">
        <v>264</v>
      </c>
      <c r="E403" s="57"/>
      <c r="F403" s="57"/>
      <c r="G403" s="57"/>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56">
        <f>+IFERROR(AN228/(AVERAGE(AM350:AN350)*1000),"n/a")</f>
        <v>7.301210653753027</v>
      </c>
      <c r="AO403" s="56">
        <f t="shared" ref="AO403:BJ403" si="720">+IFERROR(AO228/(AVERAGE(AN350:AO350)*1000),"n/a")</f>
        <v>7.9650943396226417</v>
      </c>
      <c r="AP403" s="56">
        <f t="shared" si="720"/>
        <v>8.1345622119815673</v>
      </c>
      <c r="AQ403" s="56">
        <f t="shared" si="720"/>
        <v>9.4538116591928247</v>
      </c>
      <c r="AR403" s="56">
        <f t="shared" si="720"/>
        <v>7.6783549783549798</v>
      </c>
      <c r="AS403" s="56">
        <f t="shared" si="720"/>
        <v>7.7378881987577639</v>
      </c>
      <c r="AT403" s="56">
        <f t="shared" si="720"/>
        <v>8.5708582834331342</v>
      </c>
      <c r="AU403" s="56">
        <f t="shared" si="720"/>
        <v>10.922957198443578</v>
      </c>
      <c r="AV403" s="56">
        <f t="shared" si="720"/>
        <v>9.8387218045112785</v>
      </c>
      <c r="AW403" s="56">
        <f t="shared" si="720"/>
        <v>10.612043795620439</v>
      </c>
      <c r="AX403" s="56">
        <f t="shared" si="720"/>
        <v>10.416517055655296</v>
      </c>
      <c r="AY403" s="56">
        <f t="shared" si="720"/>
        <v>11.961278863232682</v>
      </c>
      <c r="AZ403" s="56">
        <f t="shared" si="720"/>
        <v>9.8094903339191575</v>
      </c>
      <c r="BA403" s="56">
        <f t="shared" si="720"/>
        <v>10.025043478260869</v>
      </c>
      <c r="BB403" s="56">
        <f t="shared" si="720"/>
        <v>9.5401032702237512</v>
      </c>
      <c r="BC403" s="56">
        <f t="shared" si="720"/>
        <v>10.921901528013581</v>
      </c>
      <c r="BD403" s="56">
        <f t="shared" si="720"/>
        <v>9.580267558528428</v>
      </c>
      <c r="BE403" s="56">
        <f t="shared" si="720"/>
        <v>10.508702791461412</v>
      </c>
      <c r="BF403" s="56">
        <f t="shared" si="720"/>
        <v>10.997101449275362</v>
      </c>
      <c r="BG403" s="56">
        <f t="shared" si="720"/>
        <v>12.673301737756715</v>
      </c>
      <c r="BH403" s="56">
        <f t="shared" si="720"/>
        <v>11.339035769828927</v>
      </c>
      <c r="BI403" s="56">
        <f t="shared" si="720"/>
        <v>12.003379416282643</v>
      </c>
      <c r="BJ403" s="56">
        <f t="shared" si="720"/>
        <v>12.374695121951218</v>
      </c>
      <c r="BK403" s="56"/>
      <c r="BL403" s="56"/>
      <c r="BM403" s="56"/>
      <c r="BN403" s="56"/>
      <c r="BO403" s="56"/>
      <c r="BP403" s="106"/>
      <c r="BQ403" s="106"/>
      <c r="BR403" s="106"/>
      <c r="BS403" s="106"/>
      <c r="BT403" s="106"/>
      <c r="BU403" s="106"/>
      <c r="BV403" s="106"/>
      <c r="BW403" s="106"/>
      <c r="BX403" s="106"/>
      <c r="BY403" s="106"/>
      <c r="BZ403" s="106"/>
      <c r="CA403" s="106"/>
      <c r="CB403" s="106"/>
      <c r="CC403" s="56">
        <f>+SUM(AN403:AQ403)</f>
        <v>32.85467886455006</v>
      </c>
      <c r="CD403" s="56">
        <f>+SUM(AR403:AU403)</f>
        <v>34.910058658989456</v>
      </c>
      <c r="CE403" s="56">
        <f>+SUM(AV403:AY403)</f>
        <v>42.828561519019701</v>
      </c>
      <c r="CF403" s="56">
        <f>+SUM(AZ403:BC403)</f>
        <v>40.296538610417358</v>
      </c>
      <c r="CG403" s="56">
        <f>+SUM(BD403:BG403)</f>
        <v>43.759373537021915</v>
      </c>
      <c r="CH403" s="56"/>
      <c r="CI403" s="56"/>
    </row>
    <row r="404" spans="2:87" x14ac:dyDescent="0.2">
      <c r="B404" t="s">
        <v>218</v>
      </c>
      <c r="E404" s="57"/>
      <c r="F404" s="57"/>
      <c r="G404" s="57"/>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c r="AF404" s="106"/>
      <c r="AG404" s="106"/>
      <c r="AH404" s="106"/>
      <c r="AI404" s="106"/>
      <c r="AJ404" s="106"/>
      <c r="AK404" s="106"/>
      <c r="AL404" s="106"/>
      <c r="AM404" s="106"/>
      <c r="AN404" s="56">
        <f>+IFERROR(AN256/(AVERAGE(AM350:AN350)*1000),"n/a")</f>
        <v>7.221307506053269</v>
      </c>
      <c r="AO404" s="56">
        <f t="shared" ref="AO404:BJ404" si="721">+IFERROR(AO256/(AVERAGE(AN350:AO350)*1000),"n/a")</f>
        <v>7.8415094339622637</v>
      </c>
      <c r="AP404" s="56">
        <f t="shared" si="721"/>
        <v>8.0105990783410146</v>
      </c>
      <c r="AQ404" s="56">
        <f t="shared" si="721"/>
        <v>9.2986547085201785</v>
      </c>
      <c r="AR404" s="56">
        <f t="shared" si="721"/>
        <v>7.5497835497835517</v>
      </c>
      <c r="AS404" s="56">
        <f t="shared" si="721"/>
        <v>7.5863354037267081</v>
      </c>
      <c r="AT404" s="56">
        <f t="shared" si="721"/>
        <v>8.4714570858283427</v>
      </c>
      <c r="AU404" s="56">
        <f t="shared" si="721"/>
        <v>10.578599221789881</v>
      </c>
      <c r="AV404" s="56">
        <f t="shared" si="721"/>
        <v>9.5635338345864653</v>
      </c>
      <c r="AW404" s="56">
        <f t="shared" si="721"/>
        <v>10.430656934306569</v>
      </c>
      <c r="AX404" s="56">
        <f t="shared" si="721"/>
        <v>10.152962298025134</v>
      </c>
      <c r="AY404" s="56">
        <f t="shared" si="721"/>
        <v>11.594671403197157</v>
      </c>
      <c r="AZ404" s="56">
        <f t="shared" si="721"/>
        <v>9.4896309314587004</v>
      </c>
      <c r="BA404" s="56">
        <f t="shared" si="721"/>
        <v>9.7919999999999998</v>
      </c>
      <c r="BB404" s="56">
        <f t="shared" si="721"/>
        <v>9.3759036144578296</v>
      </c>
      <c r="BC404" s="56">
        <f t="shared" si="721"/>
        <v>10.612563667232596</v>
      </c>
      <c r="BD404" s="56">
        <f t="shared" si="721"/>
        <v>9.3983277591973238</v>
      </c>
      <c r="BE404" s="56">
        <f t="shared" si="721"/>
        <v>10.344170771756978</v>
      </c>
      <c r="BF404" s="56">
        <f t="shared" si="721"/>
        <v>10.835104669887279</v>
      </c>
      <c r="BG404" s="56">
        <f t="shared" si="721"/>
        <v>12.229383886255924</v>
      </c>
      <c r="BH404" s="56">
        <f t="shared" si="721"/>
        <v>11.08398133748056</v>
      </c>
      <c r="BI404" s="56">
        <f t="shared" si="721"/>
        <v>11.77542242703533</v>
      </c>
      <c r="BJ404" s="56">
        <f t="shared" si="721"/>
        <v>12.160060975609754</v>
      </c>
      <c r="BK404" s="56"/>
      <c r="BL404" s="56"/>
      <c r="BM404" s="56"/>
      <c r="BN404" s="56"/>
      <c r="BO404" s="56"/>
      <c r="BP404" s="106"/>
      <c r="BQ404" s="106"/>
      <c r="BR404" s="106"/>
      <c r="BS404" s="106"/>
      <c r="BT404" s="106"/>
      <c r="BU404" s="106"/>
      <c r="BV404" s="106"/>
      <c r="BW404" s="106"/>
      <c r="BX404" s="106"/>
      <c r="BY404" s="106"/>
      <c r="BZ404" s="106"/>
      <c r="CA404" s="106"/>
      <c r="CB404" s="106"/>
      <c r="CC404" s="56">
        <f>+SUM(AN404:AQ404)</f>
        <v>32.372070726876728</v>
      </c>
      <c r="CD404" s="56">
        <f>+SUM(AR404:AU404)</f>
        <v>34.186175261128483</v>
      </c>
      <c r="CE404" s="56">
        <f>+SUM(AV404:AY404)</f>
        <v>41.741824470115326</v>
      </c>
      <c r="CF404" s="56">
        <f>+SUM(AZ404:BC404)</f>
        <v>39.270098213149126</v>
      </c>
      <c r="CG404" s="56">
        <f>+SUM(BD404:BG404)</f>
        <v>42.806987087097504</v>
      </c>
      <c r="CH404" s="56"/>
      <c r="CI404" s="56"/>
    </row>
    <row r="405" spans="2:87" x14ac:dyDescent="0.2">
      <c r="E405" s="57"/>
      <c r="F405" s="57"/>
      <c r="G405" s="57"/>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c r="AE405" s="106"/>
      <c r="AF405" s="106"/>
      <c r="AG405" s="106"/>
      <c r="AH405" s="106"/>
      <c r="AI405" s="106"/>
      <c r="AJ405" s="106"/>
      <c r="AK405" s="106"/>
      <c r="AL405" s="106"/>
      <c r="AM405" s="106"/>
      <c r="AN405" s="106"/>
      <c r="AO405" s="106"/>
      <c r="AP405" s="106"/>
      <c r="AQ405" s="106"/>
      <c r="AR405" s="106"/>
      <c r="AS405" s="106"/>
      <c r="AT405" s="106"/>
      <c r="AU405" s="106"/>
      <c r="AV405" s="106"/>
      <c r="AW405" s="106"/>
      <c r="AX405" s="106"/>
      <c r="AY405" s="106"/>
      <c r="AZ405" s="106"/>
      <c r="BA405" s="106"/>
      <c r="BB405" s="106"/>
      <c r="BC405" s="106"/>
      <c r="BD405" s="106"/>
      <c r="BE405" s="106"/>
      <c r="BF405" s="106"/>
      <c r="BG405" s="106"/>
      <c r="BH405" s="106"/>
      <c r="BI405" s="106"/>
      <c r="BJ405" s="106"/>
      <c r="BK405" s="106"/>
      <c r="BL405" s="106"/>
      <c r="BM405" s="106"/>
      <c r="BN405" s="106"/>
      <c r="BO405" s="106"/>
      <c r="BP405" s="106"/>
      <c r="BQ405" s="106"/>
      <c r="BR405" s="106"/>
      <c r="BS405" s="106"/>
      <c r="BT405" s="106"/>
      <c r="BU405" s="106"/>
      <c r="BV405" s="106"/>
      <c r="BW405" s="106"/>
      <c r="BX405" s="106"/>
      <c r="BY405" s="106"/>
      <c r="BZ405" s="106"/>
      <c r="CA405" s="106"/>
      <c r="CB405" s="106"/>
      <c r="CC405" s="106"/>
      <c r="CD405" s="106"/>
      <c r="CE405" s="68"/>
      <c r="CF405" s="68"/>
      <c r="CG405" s="68"/>
      <c r="CH405" s="68"/>
      <c r="CI405" s="68"/>
    </row>
    <row r="406" spans="2:87" x14ac:dyDescent="0.2">
      <c r="B406" s="62" t="s">
        <v>17</v>
      </c>
      <c r="E406" s="57"/>
      <c r="F406" s="57"/>
      <c r="G406" s="57"/>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c r="AE406" s="106"/>
      <c r="AF406" s="106"/>
      <c r="AG406" s="106"/>
      <c r="AH406" s="106"/>
      <c r="AI406" s="106"/>
      <c r="AJ406" s="106"/>
      <c r="AK406" s="106"/>
      <c r="AL406" s="106"/>
      <c r="AM406" s="106"/>
      <c r="AN406" s="106"/>
      <c r="AO406" s="106"/>
      <c r="AP406" s="106"/>
      <c r="AQ406" s="106"/>
      <c r="AR406" s="106"/>
      <c r="AS406" s="106"/>
      <c r="AT406" s="106"/>
      <c r="AU406" s="106"/>
      <c r="AV406" s="106"/>
      <c r="AW406" s="106"/>
      <c r="AX406" s="106"/>
      <c r="AY406" s="106"/>
      <c r="AZ406" s="106"/>
      <c r="BA406" s="106"/>
      <c r="BB406" s="106"/>
      <c r="BC406" s="106"/>
      <c r="BD406" s="106"/>
      <c r="BE406" s="106"/>
      <c r="BF406" s="106"/>
      <c r="BG406" s="106"/>
      <c r="BH406" s="106"/>
      <c r="BI406" s="106"/>
      <c r="BJ406" s="106"/>
      <c r="BK406" s="106"/>
      <c r="BL406" s="106"/>
      <c r="BM406" s="106"/>
      <c r="BN406" s="106"/>
      <c r="BO406" s="106"/>
      <c r="BP406" s="106"/>
      <c r="BQ406" s="106"/>
      <c r="BR406" s="106"/>
      <c r="BS406" s="106"/>
      <c r="BT406" s="106"/>
      <c r="BU406" s="106"/>
      <c r="BV406" s="106"/>
      <c r="BW406" s="106"/>
      <c r="BX406" s="106"/>
      <c r="BY406" s="106"/>
      <c r="BZ406" s="106"/>
      <c r="CA406" s="106"/>
      <c r="CB406" s="106"/>
      <c r="CC406" s="106"/>
      <c r="CD406" s="106"/>
      <c r="CE406" s="68"/>
      <c r="CF406" s="68"/>
      <c r="CG406" s="68"/>
      <c r="CH406" s="68"/>
      <c r="CI406" s="68"/>
    </row>
    <row r="407" spans="2:87" x14ac:dyDescent="0.2">
      <c r="B407" s="60" t="s">
        <v>264</v>
      </c>
      <c r="E407" s="57"/>
      <c r="F407" s="57"/>
      <c r="G407" s="57"/>
      <c r="H407" s="106"/>
      <c r="I407" s="106"/>
      <c r="J407" s="106"/>
      <c r="K407" s="106"/>
      <c r="L407" s="106"/>
      <c r="M407" s="106"/>
      <c r="N407" s="106"/>
      <c r="O407" s="106"/>
      <c r="P407" s="106"/>
      <c r="Q407" s="106"/>
      <c r="R407" s="106"/>
      <c r="S407" s="106"/>
      <c r="T407" s="106"/>
      <c r="U407" s="106"/>
      <c r="V407" s="106"/>
      <c r="W407" s="106"/>
      <c r="X407" s="106"/>
      <c r="Y407" s="106"/>
      <c r="Z407" s="106"/>
      <c r="AA407" s="106"/>
      <c r="AB407" s="106"/>
      <c r="AC407" s="106"/>
      <c r="AD407" s="106"/>
      <c r="AE407" s="106"/>
      <c r="AF407" s="106"/>
      <c r="AG407" s="106"/>
      <c r="AH407" s="106"/>
      <c r="AI407" s="106"/>
      <c r="AJ407" s="106"/>
      <c r="AK407" s="106"/>
      <c r="AL407" s="106"/>
      <c r="AM407" s="106"/>
      <c r="AN407" s="106"/>
      <c r="AO407" s="106"/>
      <c r="AP407" s="106"/>
      <c r="AQ407" s="106"/>
      <c r="AR407" s="106">
        <f t="shared" ref="AR407:AR408" si="722">+AR403/AN403-1</f>
        <v>5.1655039484183263E-2</v>
      </c>
      <c r="AS407" s="106">
        <f t="shared" ref="AS407:AS408" si="723">+AS403/AO403-1</f>
        <v>-2.8525229103016803E-2</v>
      </c>
      <c r="AT407" s="106">
        <f t="shared" ref="AT407:AT408" si="724">+AT403/AP403-1</f>
        <v>5.3634855826529604E-2</v>
      </c>
      <c r="AU407" s="106">
        <f t="shared" ref="AU407:AU408" si="725">+AU403/AQ403-1</f>
        <v>0.15540245482066117</v>
      </c>
      <c r="AV407" s="106">
        <f t="shared" ref="AV407:AV408" si="726">+AV403/AR403-1</f>
        <v>0.28135802945374344</v>
      </c>
      <c r="AW407" s="106">
        <f t="shared" ref="AW407:AW408" si="727">+AW403/AS403-1</f>
        <v>0.37143927684611544</v>
      </c>
      <c r="AX407" s="106">
        <f t="shared" ref="AX407:AX408" si="728">+AX403/AT403-1</f>
        <v>0.21534118418334969</v>
      </c>
      <c r="AY407" s="106">
        <f t="shared" ref="AY407:AY408" si="729">+AY403/AU403-1</f>
        <v>9.5058659109005239E-2</v>
      </c>
      <c r="AZ407" s="106">
        <f t="shared" ref="AZ407:AZ408" si="730">+AZ403/AV403-1</f>
        <v>-2.9710638407031142E-3</v>
      </c>
      <c r="BA407" s="106">
        <f t="shared" ref="BA407:BA408" si="731">+BA403/AW403-1</f>
        <v>-5.5314539655577311E-2</v>
      </c>
      <c r="BB407" s="106">
        <f t="shared" ref="BB407:BB408" si="732">+BB403/AX403-1</f>
        <v>-8.4136931831328976E-2</v>
      </c>
      <c r="BC407" s="106">
        <f t="shared" ref="BC407:BC408" si="733">+BC403/AY403-1</f>
        <v>-8.6895167908341509E-2</v>
      </c>
      <c r="BD407" s="106">
        <f t="shared" ref="BD407:BD408" si="734">+BD403/AZ403-1</f>
        <v>-2.3367450049685545E-2</v>
      </c>
      <c r="BE407" s="106">
        <f t="shared" ref="BE407:BE408" si="735">+BE403/BA403-1</f>
        <v>4.8245108786744817E-2</v>
      </c>
      <c r="BF407" s="106">
        <f t="shared" ref="BF407:BF408" si="736">+BF403/BB403-1</f>
        <v>0.15272352277350554</v>
      </c>
      <c r="BG407" s="106">
        <f t="shared" ref="BG407:BG408" si="737">+BG403/BC403-1</f>
        <v>0.16035671126048578</v>
      </c>
      <c r="BH407" s="164">
        <f t="shared" ref="BH407:BH408" si="738">+IFERROR(BH403/BD403-1,"n/a")</f>
        <v>0.1835823687131608</v>
      </c>
      <c r="BI407" s="164">
        <f t="shared" ref="BI407:BI408" si="739">+IFERROR(BI403/BE403-1,"n/a")</f>
        <v>0.14223226733899974</v>
      </c>
      <c r="BJ407" s="164">
        <f t="shared" ref="BJ407:BJ408" si="740">+IFERROR(BJ403/BF403-1,"n/a")</f>
        <v>0.12526879733083041</v>
      </c>
      <c r="BK407" s="106"/>
      <c r="BL407" s="106"/>
      <c r="BM407" s="106"/>
      <c r="BN407" s="106"/>
      <c r="BO407" s="106"/>
      <c r="BP407" s="106"/>
      <c r="BQ407" s="106"/>
      <c r="BR407" s="106"/>
      <c r="BS407" s="106"/>
      <c r="BT407" s="106"/>
      <c r="BU407" s="106"/>
      <c r="BV407" s="106"/>
      <c r="BW407" s="106"/>
      <c r="BX407" s="106"/>
      <c r="BY407" s="106"/>
      <c r="BZ407" s="106"/>
      <c r="CA407" s="106"/>
      <c r="CB407" s="106"/>
      <c r="CC407" s="106"/>
      <c r="CD407" s="106">
        <f t="shared" ref="CD407:CD408" si="741">+CD403/CC403-1</f>
        <v>6.2559728643615919E-2</v>
      </c>
      <c r="CE407" s="106">
        <f t="shared" ref="CE407:CE408" si="742">+CE403/CD403-1</f>
        <v>0.22682582511190374</v>
      </c>
      <c r="CF407" s="106">
        <f t="shared" ref="CF407:CF408" si="743">+CF403/CE403-1</f>
        <v>-5.911996151161647E-2</v>
      </c>
      <c r="CG407" s="106">
        <f t="shared" ref="CG407:CG408" si="744">+CG403/CF403-1</f>
        <v>8.5933805880521907E-2</v>
      </c>
      <c r="CH407" s="106"/>
      <c r="CI407" s="106"/>
    </row>
    <row r="408" spans="2:87" x14ac:dyDescent="0.2">
      <c r="B408" s="60" t="s">
        <v>218</v>
      </c>
      <c r="E408" s="57"/>
      <c r="F408" s="57"/>
      <c r="G408" s="57"/>
      <c r="H408" s="106"/>
      <c r="I408" s="106"/>
      <c r="J408" s="106"/>
      <c r="K408" s="106"/>
      <c r="L408" s="106"/>
      <c r="M408" s="106"/>
      <c r="N408" s="106"/>
      <c r="O408" s="106"/>
      <c r="P408" s="106"/>
      <c r="Q408" s="106"/>
      <c r="R408" s="106"/>
      <c r="S408" s="106"/>
      <c r="T408" s="106"/>
      <c r="U408" s="106"/>
      <c r="V408" s="106"/>
      <c r="W408" s="106"/>
      <c r="X408" s="106"/>
      <c r="Y408" s="106"/>
      <c r="Z408" s="106"/>
      <c r="AA408" s="106"/>
      <c r="AB408" s="106"/>
      <c r="AC408" s="106"/>
      <c r="AD408" s="106"/>
      <c r="AE408" s="106"/>
      <c r="AF408" s="106"/>
      <c r="AG408" s="106"/>
      <c r="AH408" s="106"/>
      <c r="AI408" s="106"/>
      <c r="AJ408" s="106"/>
      <c r="AK408" s="106"/>
      <c r="AL408" s="106"/>
      <c r="AM408" s="106"/>
      <c r="AN408" s="106"/>
      <c r="AO408" s="106"/>
      <c r="AP408" s="106"/>
      <c r="AQ408" s="106"/>
      <c r="AR408" s="106">
        <f t="shared" si="722"/>
        <v>4.548705943555742E-2</v>
      </c>
      <c r="AS408" s="106">
        <f t="shared" si="723"/>
        <v>-3.2541442739375426E-2</v>
      </c>
      <c r="AT408" s="106">
        <f t="shared" si="724"/>
        <v>5.7531028950555285E-2</v>
      </c>
      <c r="AU408" s="106">
        <f t="shared" si="725"/>
        <v>0.13764835380938645</v>
      </c>
      <c r="AV408" s="106">
        <f t="shared" si="726"/>
        <v>0.26672953887011053</v>
      </c>
      <c r="AW408" s="106">
        <f t="shared" si="727"/>
        <v>0.37492694156161588</v>
      </c>
      <c r="AX408" s="106">
        <f t="shared" si="728"/>
        <v>0.1984906722846691</v>
      </c>
      <c r="AY408" s="106">
        <f t="shared" si="729"/>
        <v>9.6049785052293446E-2</v>
      </c>
      <c r="AZ408" s="106">
        <f t="shared" si="730"/>
        <v>-7.7275727159029639E-3</v>
      </c>
      <c r="BA408" s="106">
        <f t="shared" si="731"/>
        <v>-6.1228831350594759E-2</v>
      </c>
      <c r="BB408" s="106">
        <f t="shared" si="732"/>
        <v>-7.6535168826387889E-2</v>
      </c>
      <c r="BC408" s="106">
        <f t="shared" si="733"/>
        <v>-8.4703369488655866E-2</v>
      </c>
      <c r="BD408" s="106">
        <f t="shared" si="734"/>
        <v>-9.6213617706354393E-3</v>
      </c>
      <c r="BE408" s="106">
        <f t="shared" si="735"/>
        <v>5.6389988945769964E-2</v>
      </c>
      <c r="BF408" s="106">
        <f t="shared" si="736"/>
        <v>0.15563311179728134</v>
      </c>
      <c r="BG408" s="106">
        <f t="shared" si="737"/>
        <v>0.15234963668726254</v>
      </c>
      <c r="BH408" s="164">
        <f t="shared" si="738"/>
        <v>0.17935675595412537</v>
      </c>
      <c r="BI408" s="164">
        <f t="shared" si="739"/>
        <v>0.13836311163637638</v>
      </c>
      <c r="BJ408" s="164">
        <f t="shared" si="740"/>
        <v>0.1222836646336023</v>
      </c>
      <c r="BK408" s="106"/>
      <c r="BL408" s="106"/>
      <c r="BM408" s="106"/>
      <c r="BN408" s="106"/>
      <c r="BO408" s="106"/>
      <c r="BP408" s="106"/>
      <c r="BQ408" s="106"/>
      <c r="BR408" s="106"/>
      <c r="BS408" s="106"/>
      <c r="BT408" s="106"/>
      <c r="BU408" s="106"/>
      <c r="BV408" s="106"/>
      <c r="BW408" s="106"/>
      <c r="BX408" s="106"/>
      <c r="BY408" s="106"/>
      <c r="BZ408" s="106"/>
      <c r="CA408" s="106"/>
      <c r="CB408" s="106"/>
      <c r="CC408" s="106"/>
      <c r="CD408" s="106">
        <f t="shared" si="741"/>
        <v>5.603918728453805E-2</v>
      </c>
      <c r="CE408" s="106">
        <f t="shared" si="742"/>
        <v>0.22101475673349236</v>
      </c>
      <c r="CF408" s="106">
        <f t="shared" si="743"/>
        <v>-5.9214619589419426E-2</v>
      </c>
      <c r="CG408" s="106">
        <f t="shared" si="744"/>
        <v>9.0065699727842619E-2</v>
      </c>
      <c r="CH408" s="106"/>
      <c r="CI408" s="106"/>
    </row>
    <row r="409" spans="2:87" x14ac:dyDescent="0.2">
      <c r="B409" s="60"/>
      <c r="E409" s="57"/>
      <c r="F409" s="57"/>
      <c r="G409" s="57"/>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c r="AD409" s="106"/>
      <c r="AE409" s="106"/>
      <c r="AF409" s="106"/>
      <c r="AG409" s="106"/>
      <c r="AH409" s="106"/>
      <c r="AI409" s="106"/>
      <c r="AJ409" s="106"/>
      <c r="AK409" s="106"/>
      <c r="AL409" s="106"/>
      <c r="AM409" s="106"/>
      <c r="AN409" s="106"/>
      <c r="AO409" s="106"/>
      <c r="AP409" s="106"/>
      <c r="AQ409" s="106"/>
      <c r="AR409" s="106"/>
      <c r="AS409" s="106"/>
      <c r="AT409" s="106"/>
      <c r="AU409" s="106"/>
      <c r="AV409" s="106"/>
      <c r="AW409" s="106"/>
      <c r="AX409" s="106"/>
      <c r="AY409" s="106"/>
      <c r="AZ409" s="106"/>
      <c r="BA409" s="106"/>
      <c r="BB409" s="106"/>
      <c r="BC409" s="106"/>
      <c r="BD409" s="106"/>
      <c r="BE409" s="106"/>
      <c r="BF409" s="106"/>
      <c r="BG409" s="106"/>
      <c r="BH409" s="106"/>
      <c r="BI409" s="106"/>
      <c r="BJ409" s="106"/>
      <c r="BK409" s="106"/>
      <c r="BL409" s="106"/>
      <c r="BM409" s="106"/>
      <c r="BN409" s="106"/>
      <c r="BO409" s="106"/>
      <c r="BP409" s="106"/>
      <c r="BQ409" s="106"/>
      <c r="BR409" s="106"/>
      <c r="BS409" s="106"/>
      <c r="BT409" s="106"/>
      <c r="BU409" s="106"/>
      <c r="BV409" s="106"/>
      <c r="BW409" s="106"/>
      <c r="BX409" s="106"/>
      <c r="BY409" s="106"/>
      <c r="BZ409" s="106"/>
      <c r="CA409" s="106"/>
      <c r="CB409" s="106"/>
      <c r="CC409" s="106"/>
      <c r="CD409" s="106"/>
      <c r="CE409" s="68"/>
      <c r="CF409" s="68"/>
      <c r="CG409" s="68"/>
      <c r="CH409" s="68"/>
      <c r="CI409" s="68"/>
    </row>
    <row r="410" spans="2:87" x14ac:dyDescent="0.2">
      <c r="B410" s="52" t="s">
        <v>118</v>
      </c>
      <c r="C410" s="53"/>
    </row>
    <row r="411" spans="2:87" x14ac:dyDescent="0.2">
      <c r="BH411" s="55"/>
    </row>
    <row r="412" spans="2:87" s="44" customFormat="1" x14ac:dyDescent="0.2">
      <c r="B412" s="44" t="s">
        <v>16</v>
      </c>
      <c r="D412" s="113">
        <v>345</v>
      </c>
      <c r="E412" s="113">
        <v>431</v>
      </c>
      <c r="F412" s="113">
        <v>467</v>
      </c>
      <c r="G412" s="113">
        <v>731</v>
      </c>
      <c r="H412" s="113">
        <v>731</v>
      </c>
      <c r="I412" s="113">
        <v>895</v>
      </c>
      <c r="J412" s="113">
        <v>954</v>
      </c>
      <c r="K412" s="113">
        <v>1131</v>
      </c>
      <c r="L412" s="113">
        <v>1058</v>
      </c>
      <c r="M412" s="113">
        <v>1184</v>
      </c>
      <c r="N412" s="113">
        <v>1262</v>
      </c>
      <c r="O412" s="113">
        <v>1585</v>
      </c>
      <c r="P412" s="113">
        <v>1458</v>
      </c>
      <c r="Q412" s="113">
        <v>1813</v>
      </c>
      <c r="R412" s="113">
        <v>2016</v>
      </c>
      <c r="S412" s="113">
        <v>2585</v>
      </c>
      <c r="T412" s="113">
        <v>2502</v>
      </c>
      <c r="U412" s="113">
        <v>2910</v>
      </c>
      <c r="V412" s="113">
        <v>3203</v>
      </c>
      <c r="W412" s="113">
        <v>3851</v>
      </c>
      <c r="X412" s="113">
        <v>3543</v>
      </c>
      <c r="Y412" s="113">
        <v>4042</v>
      </c>
      <c r="Z412" s="113">
        <v>4501</v>
      </c>
      <c r="AA412" s="113">
        <v>5841</v>
      </c>
      <c r="AB412" s="113">
        <v>5382</v>
      </c>
      <c r="AC412" s="113">
        <v>6436</v>
      </c>
      <c r="AD412" s="113">
        <v>7011</v>
      </c>
      <c r="AE412" s="113">
        <v>8809</v>
      </c>
      <c r="AF412" s="113">
        <v>8032</v>
      </c>
      <c r="AG412" s="113">
        <v>9321</v>
      </c>
      <c r="AH412" s="113">
        <v>10328</v>
      </c>
      <c r="AI412" s="113">
        <v>12972</v>
      </c>
      <c r="AJ412" s="113">
        <v>11966</v>
      </c>
      <c r="AK412" s="113">
        <v>13231</v>
      </c>
      <c r="AL412" s="113">
        <v>13727</v>
      </c>
      <c r="AM412" s="113">
        <v>16914</v>
      </c>
      <c r="AN412" s="113">
        <v>15077</v>
      </c>
      <c r="AO412" s="113">
        <v>16886</v>
      </c>
      <c r="AP412" s="113">
        <v>17652</v>
      </c>
      <c r="AQ412" s="113">
        <v>21082</v>
      </c>
      <c r="AR412" s="113">
        <v>17737</v>
      </c>
      <c r="AS412" s="113">
        <v>18687</v>
      </c>
      <c r="AT412" s="113">
        <v>21470</v>
      </c>
      <c r="AU412" s="113">
        <v>28072</v>
      </c>
      <c r="AV412" s="113">
        <v>26171</v>
      </c>
      <c r="AW412" s="113">
        <v>29077</v>
      </c>
      <c r="AX412" s="113">
        <v>29010</v>
      </c>
      <c r="AY412" s="113">
        <v>33671</v>
      </c>
      <c r="AZ412" s="113">
        <v>27908</v>
      </c>
      <c r="BA412" s="113">
        <v>28822</v>
      </c>
      <c r="BB412" s="113">
        <v>27714</v>
      </c>
      <c r="BC412" s="113">
        <v>32165</v>
      </c>
      <c r="BD412" s="113">
        <v>28645</v>
      </c>
      <c r="BE412" s="113">
        <v>31999</v>
      </c>
      <c r="BF412" s="113">
        <v>34146</v>
      </c>
      <c r="BG412" s="113">
        <v>40111</v>
      </c>
      <c r="BH412" s="113">
        <v>36455</v>
      </c>
      <c r="BI412" s="113">
        <v>39071</v>
      </c>
      <c r="BJ412" s="113">
        <v>40589</v>
      </c>
      <c r="BK412" s="113"/>
      <c r="BL412" s="113"/>
      <c r="BM412" s="113"/>
      <c r="BN412" s="113"/>
      <c r="BO412" s="113"/>
      <c r="BQ412" s="113">
        <v>153</v>
      </c>
      <c r="BR412" s="113">
        <v>272</v>
      </c>
      <c r="BS412" s="113">
        <v>777</v>
      </c>
      <c r="BT412" s="113">
        <v>1974</v>
      </c>
      <c r="BU412" s="111">
        <f>+SUM(H412:K412)</f>
        <v>3711</v>
      </c>
      <c r="BV412" s="111">
        <f>+SUM(L412:O412)</f>
        <v>5089</v>
      </c>
      <c r="BW412" s="111">
        <f>+SUM(P412:S412)</f>
        <v>7872</v>
      </c>
      <c r="BX412" s="111">
        <f>+SUM(T412:W412)</f>
        <v>12466</v>
      </c>
      <c r="BY412" s="111">
        <f>+SUM(X412:AA412)</f>
        <v>17927</v>
      </c>
      <c r="BZ412" s="111">
        <f>+SUM(AB412:AE412)</f>
        <v>27638</v>
      </c>
      <c r="CA412" s="111">
        <f>+SUM(AF412:AI412)</f>
        <v>40653</v>
      </c>
      <c r="CB412" s="111">
        <f>+SUM(AJ412:AM412)</f>
        <v>55838</v>
      </c>
      <c r="CC412" s="111">
        <f>+SUM(AN412:AQ412)</f>
        <v>70697</v>
      </c>
      <c r="CD412" s="111">
        <f>+SUM(AR412:AU412)</f>
        <v>85966</v>
      </c>
      <c r="CE412" s="111">
        <f>+SUM(AV412:AY412)</f>
        <v>117929</v>
      </c>
      <c r="CF412" s="111">
        <f>+SUM(AZ412:BC412)</f>
        <v>116609</v>
      </c>
      <c r="CG412" s="111">
        <f>+SUM(BD412:BG412)</f>
        <v>134901</v>
      </c>
      <c r="CH412" s="111"/>
      <c r="CI412" s="111"/>
    </row>
    <row r="413" spans="2:87" x14ac:dyDescent="0.2">
      <c r="B413" s="60" t="s">
        <v>17</v>
      </c>
      <c r="C413" s="99"/>
      <c r="D413" s="99"/>
      <c r="E413" s="99"/>
      <c r="F413" s="99"/>
      <c r="G413" s="99"/>
      <c r="H413" s="99"/>
      <c r="I413" s="99"/>
      <c r="J413" s="99"/>
      <c r="K413" s="99"/>
      <c r="L413" s="106">
        <f t="shared" ref="L413:AC413" si="745">+L412/H412-1</f>
        <v>0.44733242134062934</v>
      </c>
      <c r="M413" s="106">
        <f t="shared" si="745"/>
        <v>0.32290502793296083</v>
      </c>
      <c r="N413" s="106">
        <f t="shared" si="745"/>
        <v>0.32285115303983236</v>
      </c>
      <c r="O413" s="106">
        <f t="shared" si="745"/>
        <v>0.40141467727674618</v>
      </c>
      <c r="P413" s="106">
        <f t="shared" si="745"/>
        <v>0.37807183364839325</v>
      </c>
      <c r="Q413" s="106">
        <f t="shared" si="745"/>
        <v>0.53125</v>
      </c>
      <c r="R413" s="106">
        <f t="shared" si="745"/>
        <v>0.59746434231378753</v>
      </c>
      <c r="S413" s="106">
        <f t="shared" si="745"/>
        <v>0.63091482649842279</v>
      </c>
      <c r="T413" s="106">
        <f t="shared" si="745"/>
        <v>0.71604938271604945</v>
      </c>
      <c r="U413" s="106">
        <f t="shared" si="745"/>
        <v>0.60507446221731942</v>
      </c>
      <c r="V413" s="106">
        <f t="shared" si="745"/>
        <v>0.58878968253968256</v>
      </c>
      <c r="W413" s="106">
        <f t="shared" si="745"/>
        <v>0.48974854932301737</v>
      </c>
      <c r="X413" s="106">
        <f t="shared" si="745"/>
        <v>0.4160671462829737</v>
      </c>
      <c r="Y413" s="106">
        <f t="shared" si="745"/>
        <v>0.38900343642611679</v>
      </c>
      <c r="Z413" s="106">
        <f t="shared" si="745"/>
        <v>0.40524508273493609</v>
      </c>
      <c r="AA413" s="106">
        <f t="shared" si="745"/>
        <v>0.516748896390548</v>
      </c>
      <c r="AB413" s="106">
        <f t="shared" si="745"/>
        <v>0.51905165114309915</v>
      </c>
      <c r="AC413" s="106">
        <f t="shared" si="745"/>
        <v>0.5922810489856507</v>
      </c>
      <c r="AD413" s="106">
        <f>+AD412/Z412-1</f>
        <v>0.55765385469895579</v>
      </c>
      <c r="AE413" s="106">
        <f t="shared" ref="AE413:BJ413" si="746">+AE412/AA412-1</f>
        <v>0.5081321691491183</v>
      </c>
      <c r="AF413" s="106">
        <f t="shared" si="746"/>
        <v>0.49238201412114457</v>
      </c>
      <c r="AG413" s="106">
        <f t="shared" si="746"/>
        <v>0.44825978868862637</v>
      </c>
      <c r="AH413" s="106">
        <f t="shared" si="746"/>
        <v>0.47311367850520614</v>
      </c>
      <c r="AI413" s="106">
        <f t="shared" si="746"/>
        <v>0.47258485639686687</v>
      </c>
      <c r="AJ413" s="106">
        <f t="shared" si="746"/>
        <v>0.48979083665338652</v>
      </c>
      <c r="AK413" s="106">
        <f t="shared" si="746"/>
        <v>0.41948288810213485</v>
      </c>
      <c r="AL413" s="106">
        <f t="shared" si="746"/>
        <v>0.32910534469403574</v>
      </c>
      <c r="AM413" s="106">
        <f t="shared" si="746"/>
        <v>0.30388529139685483</v>
      </c>
      <c r="AN413" s="106">
        <f t="shared" si="746"/>
        <v>0.25998662878154777</v>
      </c>
      <c r="AO413" s="106">
        <f t="shared" si="746"/>
        <v>0.2762451817700855</v>
      </c>
      <c r="AP413" s="106">
        <f t="shared" si="746"/>
        <v>0.2859328331026445</v>
      </c>
      <c r="AQ413" s="106">
        <f t="shared" si="746"/>
        <v>0.2464230814709707</v>
      </c>
      <c r="AR413" s="106">
        <f t="shared" si="746"/>
        <v>0.17642767128739134</v>
      </c>
      <c r="AS413" s="106">
        <f t="shared" si="746"/>
        <v>0.10665640175293145</v>
      </c>
      <c r="AT413" s="106">
        <f t="shared" si="746"/>
        <v>0.21629277135735325</v>
      </c>
      <c r="AU413" s="106">
        <f t="shared" si="746"/>
        <v>0.33156247035385644</v>
      </c>
      <c r="AV413" s="106">
        <f t="shared" si="746"/>
        <v>0.47550318543158365</v>
      </c>
      <c r="AW413" s="106">
        <f t="shared" si="746"/>
        <v>0.5560014983678494</v>
      </c>
      <c r="AX413" s="106">
        <f t="shared" si="746"/>
        <v>0.35118770377270603</v>
      </c>
      <c r="AY413" s="106">
        <f t="shared" si="746"/>
        <v>0.19945141065830718</v>
      </c>
      <c r="AZ413" s="106">
        <f t="shared" si="746"/>
        <v>6.6371174200450911E-2</v>
      </c>
      <c r="BA413" s="106">
        <f t="shared" si="746"/>
        <v>-8.7698180692643568E-3</v>
      </c>
      <c r="BB413" s="106">
        <f t="shared" si="746"/>
        <v>-4.4674250258531556E-2</v>
      </c>
      <c r="BC413" s="106">
        <f t="shared" si="746"/>
        <v>-4.4726916337501144E-2</v>
      </c>
      <c r="BD413" s="106">
        <f t="shared" si="746"/>
        <v>2.6408198366060009E-2</v>
      </c>
      <c r="BE413" s="106">
        <f t="shared" si="746"/>
        <v>0.11022829782804799</v>
      </c>
      <c r="BF413" s="106">
        <f t="shared" si="746"/>
        <v>0.23208486685429741</v>
      </c>
      <c r="BG413" s="106">
        <f t="shared" si="746"/>
        <v>0.24703870666873939</v>
      </c>
      <c r="BH413" s="106">
        <f t="shared" si="746"/>
        <v>0.27264793157619138</v>
      </c>
      <c r="BI413" s="106">
        <f t="shared" si="746"/>
        <v>0.2210069064658271</v>
      </c>
      <c r="BJ413" s="106">
        <f t="shared" si="746"/>
        <v>0.18868974404029748</v>
      </c>
      <c r="BK413" s="106"/>
      <c r="BL413" s="106"/>
      <c r="BM413" s="106"/>
      <c r="BN413" s="106"/>
      <c r="BO413" s="106"/>
      <c r="BP413" s="99"/>
      <c r="BQ413" s="99"/>
      <c r="BR413" s="106">
        <f>+BR412/BQ412-1</f>
        <v>0.77777777777777768</v>
      </c>
      <c r="BS413" s="106">
        <f t="shared" ref="BS413:CG413" si="747">+BS412/BR412-1</f>
        <v>1.8566176470588234</v>
      </c>
      <c r="BT413" s="106">
        <f t="shared" si="747"/>
        <v>1.5405405405405403</v>
      </c>
      <c r="BU413" s="106">
        <f t="shared" si="747"/>
        <v>0.87993920972644379</v>
      </c>
      <c r="BV413" s="106">
        <f t="shared" si="747"/>
        <v>0.37132848288870934</v>
      </c>
      <c r="BW413" s="106">
        <f t="shared" si="747"/>
        <v>0.5468657889565729</v>
      </c>
      <c r="BX413" s="106">
        <f t="shared" si="747"/>
        <v>0.58358739837398366</v>
      </c>
      <c r="BY413" s="106">
        <f t="shared" si="747"/>
        <v>0.43807155462858982</v>
      </c>
      <c r="BZ413" s="106">
        <f t="shared" si="747"/>
        <v>0.54169688179840469</v>
      </c>
      <c r="CA413" s="106">
        <f t="shared" si="747"/>
        <v>0.47090961719371882</v>
      </c>
      <c r="CB413" s="106">
        <f t="shared" si="747"/>
        <v>0.37352716896661997</v>
      </c>
      <c r="CC413" s="106">
        <f t="shared" si="747"/>
        <v>0.26610910132884413</v>
      </c>
      <c r="CD413" s="106">
        <f t="shared" si="747"/>
        <v>0.21597804715900248</v>
      </c>
      <c r="CE413" s="106">
        <f t="shared" si="747"/>
        <v>0.37180978526394148</v>
      </c>
      <c r="CF413" s="106">
        <f t="shared" si="747"/>
        <v>-1.1193175554782941E-2</v>
      </c>
      <c r="CG413" s="106">
        <f t="shared" si="747"/>
        <v>0.15686610810486323</v>
      </c>
      <c r="CH413" s="106"/>
      <c r="CI413" s="106"/>
    </row>
    <row r="415" spans="2:87" ht="13.5" x14ac:dyDescent="0.35">
      <c r="B415" t="s">
        <v>119</v>
      </c>
      <c r="D415" s="82">
        <v>100</v>
      </c>
      <c r="E415" s="82">
        <v>111</v>
      </c>
      <c r="F415" s="82">
        <v>131</v>
      </c>
      <c r="G415" s="82">
        <v>150</v>
      </c>
      <c r="H415" s="82">
        <v>167</v>
      </c>
      <c r="I415" s="82">
        <v>210</v>
      </c>
      <c r="J415" s="82">
        <v>236</v>
      </c>
      <c r="K415" s="82">
        <v>247</v>
      </c>
      <c r="L415" s="82">
        <v>277</v>
      </c>
      <c r="M415" s="82">
        <v>367</v>
      </c>
      <c r="N415" s="82">
        <v>322</v>
      </c>
      <c r="O415" s="82">
        <v>398</v>
      </c>
      <c r="P415" s="82">
        <v>413</v>
      </c>
      <c r="Q415" s="82">
        <v>465</v>
      </c>
      <c r="R415" s="82">
        <v>507</v>
      </c>
      <c r="S415" s="82">
        <v>491</v>
      </c>
      <c r="T415" s="82">
        <v>462</v>
      </c>
      <c r="U415" s="82">
        <v>473</v>
      </c>
      <c r="V415" s="82">
        <v>565</v>
      </c>
      <c r="W415" s="82">
        <v>653</v>
      </c>
      <c r="X415" s="82">
        <v>654</v>
      </c>
      <c r="Y415" s="82">
        <v>668</v>
      </c>
      <c r="Z415" s="82">
        <v>720</v>
      </c>
      <c r="AA415" s="82">
        <v>824</v>
      </c>
      <c r="AB415" s="82">
        <v>838</v>
      </c>
      <c r="AC415" s="82">
        <v>917</v>
      </c>
      <c r="AD415" s="82">
        <v>987</v>
      </c>
      <c r="AE415" s="82">
        <v>1047</v>
      </c>
      <c r="AF415" s="82">
        <v>1159</v>
      </c>
      <c r="AG415" s="82">
        <v>1237</v>
      </c>
      <c r="AH415" s="82">
        <v>1448</v>
      </c>
      <c r="AI415" s="82">
        <v>1611</v>
      </c>
      <c r="AJ415" s="82">
        <v>1927</v>
      </c>
      <c r="AK415" s="82">
        <v>2214</v>
      </c>
      <c r="AL415" s="82">
        <v>2418</v>
      </c>
      <c r="AM415" s="82">
        <v>2796</v>
      </c>
      <c r="AN415" s="82">
        <v>2816</v>
      </c>
      <c r="AO415" s="82">
        <v>3307</v>
      </c>
      <c r="AP415" s="82">
        <v>3155</v>
      </c>
      <c r="AQ415" s="82">
        <v>3492</v>
      </c>
      <c r="AR415" s="82">
        <v>3459</v>
      </c>
      <c r="AS415" s="82">
        <v>3829</v>
      </c>
      <c r="AT415" s="82">
        <v>4194</v>
      </c>
      <c r="AU415" s="82">
        <v>5210</v>
      </c>
      <c r="AV415" s="82">
        <v>5131</v>
      </c>
      <c r="AW415" s="82">
        <v>5399</v>
      </c>
      <c r="AX415" s="82">
        <v>5771</v>
      </c>
      <c r="AY415" s="82">
        <v>6348</v>
      </c>
      <c r="AZ415" s="82">
        <v>6005</v>
      </c>
      <c r="BA415" s="82">
        <v>5192</v>
      </c>
      <c r="BB415" s="82">
        <v>5716</v>
      </c>
      <c r="BC415" s="82">
        <v>8336</v>
      </c>
      <c r="BD415" s="82">
        <v>6108</v>
      </c>
      <c r="BE415" s="82">
        <v>5945</v>
      </c>
      <c r="BF415" s="82">
        <v>6210</v>
      </c>
      <c r="BG415" s="82">
        <v>7695</v>
      </c>
      <c r="BH415" s="82">
        <v>6640</v>
      </c>
      <c r="BI415" s="82">
        <v>7308</v>
      </c>
      <c r="BJ415" s="82">
        <v>7375</v>
      </c>
      <c r="BK415" s="82"/>
      <c r="BL415" s="82"/>
      <c r="BM415" s="82"/>
      <c r="BN415" s="82"/>
      <c r="BO415" s="82"/>
      <c r="BQ415" s="82">
        <v>41</v>
      </c>
      <c r="BR415" s="82">
        <v>124</v>
      </c>
      <c r="BS415" s="82">
        <v>223</v>
      </c>
      <c r="BT415" s="82">
        <v>493</v>
      </c>
      <c r="BU415" s="65">
        <f>+SUM(H415:K415)</f>
        <v>860</v>
      </c>
      <c r="BV415" s="65">
        <f>+SUM(L415:O415)</f>
        <v>1364</v>
      </c>
      <c r="BW415" s="65">
        <f>+SUM(P415:S415)</f>
        <v>1876</v>
      </c>
      <c r="BX415" s="65">
        <f>+SUM(T415:W415)</f>
        <v>2153</v>
      </c>
      <c r="BY415" s="65">
        <f>+SUM(X415:AA415)</f>
        <v>2866</v>
      </c>
      <c r="BZ415" s="65">
        <f>+SUM(AB415:AE415)</f>
        <v>3789</v>
      </c>
      <c r="CA415" s="65">
        <f>+SUM(AF415:AI415)</f>
        <v>5455</v>
      </c>
      <c r="CB415" s="65">
        <f>+SUM(AJ415:AM415)</f>
        <v>9355</v>
      </c>
      <c r="CC415" s="65">
        <f>+SUM(AN415:AQ415)</f>
        <v>12770</v>
      </c>
      <c r="CD415" s="65">
        <f>+SUM(AR415:AU415)</f>
        <v>16692</v>
      </c>
      <c r="CE415" s="65">
        <f>+SUM(AV415:AY415)</f>
        <v>22649</v>
      </c>
      <c r="CF415" s="65">
        <f>+SUM(AZ415:BC415)</f>
        <v>25249</v>
      </c>
      <c r="CG415" s="65">
        <f>+SUM(BD415:BG415)</f>
        <v>25958</v>
      </c>
      <c r="CH415" s="65"/>
      <c r="CI415" s="65"/>
    </row>
    <row r="416" spans="2:87" s="44" customFormat="1" x14ac:dyDescent="0.2">
      <c r="B416" s="110" t="s">
        <v>120</v>
      </c>
      <c r="D416" s="111">
        <f t="shared" ref="D416:Y416" si="748">+D412-D415</f>
        <v>245</v>
      </c>
      <c r="E416" s="111">
        <f t="shared" si="748"/>
        <v>320</v>
      </c>
      <c r="F416" s="111">
        <f t="shared" si="748"/>
        <v>336</v>
      </c>
      <c r="G416" s="111">
        <f t="shared" si="748"/>
        <v>581</v>
      </c>
      <c r="H416" s="111">
        <f t="shared" si="748"/>
        <v>564</v>
      </c>
      <c r="I416" s="111">
        <f t="shared" si="748"/>
        <v>685</v>
      </c>
      <c r="J416" s="111">
        <f t="shared" si="748"/>
        <v>718</v>
      </c>
      <c r="K416" s="111">
        <f t="shared" si="748"/>
        <v>884</v>
      </c>
      <c r="L416" s="111">
        <f t="shared" si="748"/>
        <v>781</v>
      </c>
      <c r="M416" s="111">
        <f t="shared" si="748"/>
        <v>817</v>
      </c>
      <c r="N416" s="111">
        <f t="shared" si="748"/>
        <v>940</v>
      </c>
      <c r="O416" s="111">
        <f t="shared" si="748"/>
        <v>1187</v>
      </c>
      <c r="P416" s="111">
        <f t="shared" si="748"/>
        <v>1045</v>
      </c>
      <c r="Q416" s="111">
        <f t="shared" si="748"/>
        <v>1348</v>
      </c>
      <c r="R416" s="111">
        <f t="shared" si="748"/>
        <v>1509</v>
      </c>
      <c r="S416" s="111">
        <f t="shared" si="748"/>
        <v>2094</v>
      </c>
      <c r="T416" s="111">
        <f t="shared" si="748"/>
        <v>2040</v>
      </c>
      <c r="U416" s="111">
        <f t="shared" si="748"/>
        <v>2437</v>
      </c>
      <c r="V416" s="111">
        <f t="shared" si="748"/>
        <v>2638</v>
      </c>
      <c r="W416" s="111">
        <f t="shared" si="748"/>
        <v>3198</v>
      </c>
      <c r="X416" s="111">
        <f t="shared" si="748"/>
        <v>2889</v>
      </c>
      <c r="Y416" s="111">
        <f t="shared" si="748"/>
        <v>3374</v>
      </c>
      <c r="Z416" s="111">
        <f>+Z412-Z415</f>
        <v>3781</v>
      </c>
      <c r="AA416" s="111">
        <f t="shared" ref="AA416:CB416" si="749">+AA412-AA415</f>
        <v>5017</v>
      </c>
      <c r="AB416" s="111">
        <f t="shared" si="749"/>
        <v>4544</v>
      </c>
      <c r="AC416" s="111">
        <f t="shared" si="749"/>
        <v>5519</v>
      </c>
      <c r="AD416" s="111">
        <f t="shared" si="749"/>
        <v>6024</v>
      </c>
      <c r="AE416" s="111">
        <f t="shared" si="749"/>
        <v>7762</v>
      </c>
      <c r="AF416" s="111">
        <f t="shared" si="749"/>
        <v>6873</v>
      </c>
      <c r="AG416" s="111">
        <f t="shared" si="749"/>
        <v>8084</v>
      </c>
      <c r="AH416" s="111">
        <f t="shared" si="749"/>
        <v>8880</v>
      </c>
      <c r="AI416" s="111">
        <f t="shared" si="749"/>
        <v>11361</v>
      </c>
      <c r="AJ416" s="111">
        <f t="shared" si="749"/>
        <v>10039</v>
      </c>
      <c r="AK416" s="111">
        <f t="shared" si="749"/>
        <v>11017</v>
      </c>
      <c r="AL416" s="111">
        <f t="shared" si="749"/>
        <v>11309</v>
      </c>
      <c r="AM416" s="111">
        <f t="shared" si="749"/>
        <v>14118</v>
      </c>
      <c r="AN416" s="111">
        <f t="shared" si="749"/>
        <v>12261</v>
      </c>
      <c r="AO416" s="111">
        <f t="shared" si="749"/>
        <v>13579</v>
      </c>
      <c r="AP416" s="111">
        <f t="shared" si="749"/>
        <v>14497</v>
      </c>
      <c r="AQ416" s="111">
        <f t="shared" si="749"/>
        <v>17590</v>
      </c>
      <c r="AR416" s="111">
        <f t="shared" si="749"/>
        <v>14278</v>
      </c>
      <c r="AS416" s="111">
        <f t="shared" si="749"/>
        <v>14858</v>
      </c>
      <c r="AT416" s="111">
        <f t="shared" si="749"/>
        <v>17276</v>
      </c>
      <c r="AU416" s="111">
        <f t="shared" ref="AU416:AZ416" si="750">+AU412-AU415</f>
        <v>22862</v>
      </c>
      <c r="AV416" s="111">
        <f t="shared" si="750"/>
        <v>21040</v>
      </c>
      <c r="AW416" s="111">
        <f t="shared" si="750"/>
        <v>23678</v>
      </c>
      <c r="AX416" s="111">
        <f t="shared" si="750"/>
        <v>23239</v>
      </c>
      <c r="AY416" s="111">
        <f t="shared" si="750"/>
        <v>27323</v>
      </c>
      <c r="AZ416" s="111">
        <f t="shared" si="750"/>
        <v>21903</v>
      </c>
      <c r="BA416" s="111">
        <f t="shared" ref="BA416:BI416" si="751">+BA412-BA415</f>
        <v>23630</v>
      </c>
      <c r="BB416" s="111">
        <f t="shared" si="751"/>
        <v>21998</v>
      </c>
      <c r="BC416" s="111">
        <f t="shared" si="751"/>
        <v>23829</v>
      </c>
      <c r="BD416" s="111">
        <f t="shared" si="751"/>
        <v>22537</v>
      </c>
      <c r="BE416" s="111">
        <f t="shared" si="751"/>
        <v>26054</v>
      </c>
      <c r="BF416" s="111">
        <f t="shared" si="751"/>
        <v>27936</v>
      </c>
      <c r="BG416" s="111">
        <f t="shared" si="751"/>
        <v>32416</v>
      </c>
      <c r="BH416" s="111">
        <f t="shared" si="751"/>
        <v>29815</v>
      </c>
      <c r="BI416" s="111">
        <f t="shared" si="751"/>
        <v>31763</v>
      </c>
      <c r="BJ416" s="111">
        <f t="shared" ref="BJ416" si="752">+BJ412-BJ415</f>
        <v>33214</v>
      </c>
      <c r="BK416" s="111"/>
      <c r="BL416" s="111"/>
      <c r="BM416" s="111"/>
      <c r="BN416" s="111"/>
      <c r="BO416" s="111"/>
      <c r="BQ416" s="111">
        <f t="shared" si="749"/>
        <v>112</v>
      </c>
      <c r="BR416" s="111">
        <f t="shared" si="749"/>
        <v>148</v>
      </c>
      <c r="BS416" s="111">
        <f t="shared" si="749"/>
        <v>554</v>
      </c>
      <c r="BT416" s="111">
        <f t="shared" si="749"/>
        <v>1481</v>
      </c>
      <c r="BU416" s="111">
        <f t="shared" si="749"/>
        <v>2851</v>
      </c>
      <c r="BV416" s="111">
        <f t="shared" si="749"/>
        <v>3725</v>
      </c>
      <c r="BW416" s="111">
        <f t="shared" si="749"/>
        <v>5996</v>
      </c>
      <c r="BX416" s="111">
        <f t="shared" si="749"/>
        <v>10313</v>
      </c>
      <c r="BY416" s="111">
        <f t="shared" si="749"/>
        <v>15061</v>
      </c>
      <c r="BZ416" s="111">
        <f t="shared" si="749"/>
        <v>23849</v>
      </c>
      <c r="CA416" s="111">
        <f t="shared" si="749"/>
        <v>35198</v>
      </c>
      <c r="CB416" s="111">
        <f t="shared" si="749"/>
        <v>46483</v>
      </c>
      <c r="CC416" s="111">
        <f>+SUM(AN416:AQ416)</f>
        <v>57927</v>
      </c>
      <c r="CD416" s="111">
        <f>+SUM(AR416:AU416)</f>
        <v>69274</v>
      </c>
      <c r="CE416" s="111">
        <f>+SUM(AV416:AY416)</f>
        <v>95280</v>
      </c>
      <c r="CF416" s="111">
        <f>+SUM(AZ416:BC416)</f>
        <v>91360</v>
      </c>
      <c r="CG416" s="111">
        <f>+SUM(BD416:BG416)</f>
        <v>108943</v>
      </c>
      <c r="CH416" s="111"/>
      <c r="CI416" s="111"/>
    </row>
    <row r="417" spans="2:87" x14ac:dyDescent="0.2">
      <c r="B417" s="101" t="s">
        <v>17</v>
      </c>
      <c r="C417" s="99"/>
      <c r="D417" s="99"/>
      <c r="E417" s="99"/>
      <c r="F417" s="99"/>
      <c r="G417" s="99"/>
      <c r="H417" s="99"/>
      <c r="I417" s="99"/>
      <c r="J417" s="99"/>
      <c r="K417" s="99"/>
      <c r="L417" s="106">
        <f t="shared" ref="L417:BJ417" si="753">+L416/H416-1</f>
        <v>0.38475177304964547</v>
      </c>
      <c r="M417" s="106">
        <f t="shared" si="753"/>
        <v>0.19270072992700737</v>
      </c>
      <c r="N417" s="106">
        <f t="shared" si="753"/>
        <v>0.30919220055710306</v>
      </c>
      <c r="O417" s="106">
        <f t="shared" si="753"/>
        <v>0.34276018099547501</v>
      </c>
      <c r="P417" s="106">
        <f t="shared" si="753"/>
        <v>0.3380281690140845</v>
      </c>
      <c r="Q417" s="106">
        <f t="shared" si="753"/>
        <v>0.64993880048959607</v>
      </c>
      <c r="R417" s="106">
        <f t="shared" si="753"/>
        <v>0.60531914893617023</v>
      </c>
      <c r="S417" s="106">
        <f t="shared" si="753"/>
        <v>0.76411120471777583</v>
      </c>
      <c r="T417" s="106">
        <f t="shared" si="753"/>
        <v>0.95215311004784686</v>
      </c>
      <c r="U417" s="106">
        <f t="shared" si="753"/>
        <v>0.80786350148367947</v>
      </c>
      <c r="V417" s="106">
        <f t="shared" si="753"/>
        <v>0.74817760106030473</v>
      </c>
      <c r="W417" s="106">
        <f t="shared" si="753"/>
        <v>0.52722063037249289</v>
      </c>
      <c r="X417" s="106">
        <f t="shared" si="753"/>
        <v>0.41617647058823537</v>
      </c>
      <c r="Y417" s="106">
        <f t="shared" si="753"/>
        <v>0.38448912597455887</v>
      </c>
      <c r="Z417" s="106">
        <f t="shared" si="753"/>
        <v>0.43328278999241854</v>
      </c>
      <c r="AA417" s="106">
        <f t="shared" si="753"/>
        <v>0.56879299562226393</v>
      </c>
      <c r="AB417" s="106">
        <f t="shared" si="753"/>
        <v>0.5728625822083766</v>
      </c>
      <c r="AC417" s="106">
        <f t="shared" si="753"/>
        <v>0.63574392412566683</v>
      </c>
      <c r="AD417" s="106">
        <f t="shared" si="753"/>
        <v>0.59322930441682087</v>
      </c>
      <c r="AE417" s="106">
        <f t="shared" si="753"/>
        <v>0.54713972493522034</v>
      </c>
      <c r="AF417" s="106">
        <f t="shared" si="753"/>
        <v>0.512544014084507</v>
      </c>
      <c r="AG417" s="106">
        <f t="shared" si="753"/>
        <v>0.46475810835296238</v>
      </c>
      <c r="AH417" s="106">
        <f t="shared" si="753"/>
        <v>0.47410358565737054</v>
      </c>
      <c r="AI417" s="106">
        <f t="shared" si="753"/>
        <v>0.46366915743365111</v>
      </c>
      <c r="AJ417" s="106">
        <f t="shared" si="753"/>
        <v>0.46064309617343224</v>
      </c>
      <c r="AK417" s="106">
        <f t="shared" si="753"/>
        <v>0.36281543790202875</v>
      </c>
      <c r="AL417" s="106">
        <f t="shared" si="753"/>
        <v>0.27353603603603593</v>
      </c>
      <c r="AM417" s="106">
        <f t="shared" si="753"/>
        <v>0.24267229997359396</v>
      </c>
      <c r="AN417" s="106">
        <f t="shared" si="753"/>
        <v>0.22133678653252309</v>
      </c>
      <c r="AO417" s="106">
        <f t="shared" si="753"/>
        <v>0.23254969592448038</v>
      </c>
      <c r="AP417" s="106">
        <f t="shared" si="753"/>
        <v>0.28189937218144845</v>
      </c>
      <c r="AQ417" s="106">
        <f t="shared" si="753"/>
        <v>0.2459271851537046</v>
      </c>
      <c r="AR417" s="106">
        <f t="shared" si="753"/>
        <v>0.16450534214175017</v>
      </c>
      <c r="AS417" s="106">
        <f t="shared" si="753"/>
        <v>9.418955740481616E-2</v>
      </c>
      <c r="AT417" s="106">
        <f t="shared" si="753"/>
        <v>0.19169483341380977</v>
      </c>
      <c r="AU417" s="106">
        <f t="shared" si="753"/>
        <v>0.29971574758385455</v>
      </c>
      <c r="AV417" s="106">
        <f t="shared" si="753"/>
        <v>0.47359574170051832</v>
      </c>
      <c r="AW417" s="106">
        <f t="shared" si="753"/>
        <v>0.59361959886929605</v>
      </c>
      <c r="AX417" s="106">
        <f t="shared" si="753"/>
        <v>0.34516091687890715</v>
      </c>
      <c r="AY417" s="106">
        <f t="shared" si="753"/>
        <v>0.19512728545184155</v>
      </c>
      <c r="AZ417" s="106">
        <f t="shared" si="753"/>
        <v>4.1017110266159618E-2</v>
      </c>
      <c r="BA417" s="106">
        <f t="shared" si="753"/>
        <v>-2.0271982430948299E-3</v>
      </c>
      <c r="BB417" s="106">
        <f t="shared" si="753"/>
        <v>-5.3401609363569857E-2</v>
      </c>
      <c r="BC417" s="106">
        <f t="shared" si="753"/>
        <v>-0.12787761226805261</v>
      </c>
      <c r="BD417" s="106">
        <f t="shared" si="753"/>
        <v>2.8945806510523697E-2</v>
      </c>
      <c r="BE417" s="106">
        <f t="shared" si="753"/>
        <v>0.1025814642403724</v>
      </c>
      <c r="BF417" s="106">
        <f t="shared" si="753"/>
        <v>0.26993363033002993</v>
      </c>
      <c r="BG417" s="106">
        <f t="shared" si="753"/>
        <v>0.36035922615300686</v>
      </c>
      <c r="BH417" s="106">
        <f t="shared" si="753"/>
        <v>0.32293561698540185</v>
      </c>
      <c r="BI417" s="106">
        <f t="shared" si="753"/>
        <v>0.21912182390419899</v>
      </c>
      <c r="BJ417" s="106">
        <f t="shared" si="753"/>
        <v>0.18893184421534936</v>
      </c>
      <c r="BK417" s="106"/>
      <c r="BL417" s="106"/>
      <c r="BM417" s="106"/>
      <c r="BN417" s="106"/>
      <c r="BO417" s="106"/>
      <c r="BP417" s="99"/>
      <c r="BQ417" s="99"/>
      <c r="BR417" s="106">
        <f t="shared" ref="BR417:CG417" si="754">+BR416/BQ416-1</f>
        <v>0.3214285714285714</v>
      </c>
      <c r="BS417" s="106">
        <f t="shared" si="754"/>
        <v>2.7432432432432434</v>
      </c>
      <c r="BT417" s="106">
        <f t="shared" si="754"/>
        <v>1.6732851985559565</v>
      </c>
      <c r="BU417" s="106">
        <f t="shared" si="754"/>
        <v>0.92505064145847404</v>
      </c>
      <c r="BV417" s="106">
        <f t="shared" si="754"/>
        <v>0.30655910206944936</v>
      </c>
      <c r="BW417" s="106">
        <f t="shared" si="754"/>
        <v>0.60966442953020139</v>
      </c>
      <c r="BX417" s="106">
        <f t="shared" si="754"/>
        <v>0.71997998665777185</v>
      </c>
      <c r="BY417" s="106">
        <f t="shared" si="754"/>
        <v>0.46038979928245904</v>
      </c>
      <c r="BZ417" s="106">
        <f t="shared" si="754"/>
        <v>0.58349379191288753</v>
      </c>
      <c r="CA417" s="106">
        <f t="shared" si="754"/>
        <v>0.47586900918277486</v>
      </c>
      <c r="CB417" s="106">
        <f t="shared" si="754"/>
        <v>0.3206148076595261</v>
      </c>
      <c r="CC417" s="106">
        <f t="shared" si="754"/>
        <v>0.24619753458253557</v>
      </c>
      <c r="CD417" s="106">
        <f t="shared" si="754"/>
        <v>0.19588447528786235</v>
      </c>
      <c r="CE417" s="106">
        <f t="shared" si="754"/>
        <v>0.37540780090654513</v>
      </c>
      <c r="CF417" s="106">
        <f t="shared" si="754"/>
        <v>-4.1141897565071361E-2</v>
      </c>
      <c r="CG417" s="106">
        <f t="shared" si="754"/>
        <v>0.19245840630472855</v>
      </c>
      <c r="CH417" s="106"/>
      <c r="CI417" s="106"/>
    </row>
    <row r="418" spans="2:87" s="76" customFormat="1" x14ac:dyDescent="0.2">
      <c r="B418" s="101" t="s">
        <v>21</v>
      </c>
      <c r="C418" s="107"/>
      <c r="D418" s="107">
        <f t="shared" ref="D418:Y418" si="755">+D416/D412</f>
        <v>0.71014492753623193</v>
      </c>
      <c r="E418" s="107">
        <f t="shared" si="755"/>
        <v>0.74245939675174011</v>
      </c>
      <c r="F418" s="107">
        <f t="shared" si="755"/>
        <v>0.71948608137044967</v>
      </c>
      <c r="G418" s="107">
        <f t="shared" si="755"/>
        <v>0.79480164158686728</v>
      </c>
      <c r="H418" s="107">
        <f t="shared" si="755"/>
        <v>0.77154582763337898</v>
      </c>
      <c r="I418" s="107">
        <f t="shared" si="755"/>
        <v>0.76536312849162014</v>
      </c>
      <c r="J418" s="107">
        <f t="shared" si="755"/>
        <v>0.75262054507337528</v>
      </c>
      <c r="K418" s="107">
        <f t="shared" si="755"/>
        <v>0.7816091954022989</v>
      </c>
      <c r="L418" s="107">
        <f t="shared" si="755"/>
        <v>0.73818525519848777</v>
      </c>
      <c r="M418" s="107">
        <f t="shared" si="755"/>
        <v>0.69003378378378377</v>
      </c>
      <c r="N418" s="107">
        <f t="shared" si="755"/>
        <v>0.74484944532488118</v>
      </c>
      <c r="O418" s="107">
        <f t="shared" si="755"/>
        <v>0.74889589905362774</v>
      </c>
      <c r="P418" s="107">
        <f t="shared" si="755"/>
        <v>0.71673525377229086</v>
      </c>
      <c r="Q418" s="107">
        <f t="shared" si="755"/>
        <v>0.74351902923331492</v>
      </c>
      <c r="R418" s="107">
        <f t="shared" si="755"/>
        <v>0.74851190476190477</v>
      </c>
      <c r="S418" s="107">
        <f t="shared" si="755"/>
        <v>0.81005802707930363</v>
      </c>
      <c r="T418" s="107">
        <f t="shared" si="755"/>
        <v>0.815347721822542</v>
      </c>
      <c r="U418" s="107">
        <f t="shared" si="755"/>
        <v>0.83745704467353954</v>
      </c>
      <c r="V418" s="107">
        <f t="shared" si="755"/>
        <v>0.82360287230721196</v>
      </c>
      <c r="W418" s="107">
        <f t="shared" si="755"/>
        <v>0.83043365359646848</v>
      </c>
      <c r="X418" s="107">
        <f t="shared" si="755"/>
        <v>0.81541066892464009</v>
      </c>
      <c r="Y418" s="107">
        <f t="shared" si="755"/>
        <v>0.83473527956457194</v>
      </c>
      <c r="Z418" s="107">
        <f>+Z416/Z412</f>
        <v>0.84003554765607646</v>
      </c>
      <c r="AA418" s="107">
        <f t="shared" ref="AA418:CC418" si="756">+AA416/AA412</f>
        <v>0.85892826570792669</v>
      </c>
      <c r="AB418" s="107">
        <f t="shared" si="756"/>
        <v>0.84429580081753997</v>
      </c>
      <c r="AC418" s="107">
        <f t="shared" si="756"/>
        <v>0.85752019888129272</v>
      </c>
      <c r="AD418" s="107">
        <f t="shared" si="756"/>
        <v>0.85922122379118526</v>
      </c>
      <c r="AE418" s="107">
        <f t="shared" si="756"/>
        <v>0.88114428425473945</v>
      </c>
      <c r="AF418" s="107">
        <f t="shared" si="756"/>
        <v>0.85570219123505975</v>
      </c>
      <c r="AG418" s="107">
        <f t="shared" si="756"/>
        <v>0.86728891749812254</v>
      </c>
      <c r="AH418" s="107">
        <f t="shared" si="756"/>
        <v>0.85979860573199074</v>
      </c>
      <c r="AI418" s="107">
        <f t="shared" si="756"/>
        <v>0.87580943570767811</v>
      </c>
      <c r="AJ418" s="107">
        <f t="shared" si="756"/>
        <v>0.8389603877653351</v>
      </c>
      <c r="AK418" s="107">
        <f t="shared" si="756"/>
        <v>0.83266570931902351</v>
      </c>
      <c r="AL418" s="107">
        <f t="shared" si="756"/>
        <v>0.82385080498288044</v>
      </c>
      <c r="AM418" s="107">
        <f t="shared" si="756"/>
        <v>0.83469315360056762</v>
      </c>
      <c r="AN418" s="107">
        <f t="shared" si="756"/>
        <v>0.81322544272733299</v>
      </c>
      <c r="AO418" s="107">
        <f t="shared" si="756"/>
        <v>0.80415729006277392</v>
      </c>
      <c r="AP418" s="107">
        <f t="shared" si="756"/>
        <v>0.82126671198731027</v>
      </c>
      <c r="AQ418" s="107">
        <f t="shared" si="756"/>
        <v>0.83436106631249407</v>
      </c>
      <c r="AR418" s="107">
        <f t="shared" si="756"/>
        <v>0.80498393189378137</v>
      </c>
      <c r="AS418" s="107">
        <f t="shared" si="756"/>
        <v>0.7950981966072671</v>
      </c>
      <c r="AT418" s="107">
        <f t="shared" si="756"/>
        <v>0.80465766185374943</v>
      </c>
      <c r="AU418" s="107">
        <f t="shared" ref="AU418:AZ418" si="757">+AU416/AU412</f>
        <v>0.81440581362211462</v>
      </c>
      <c r="AV418" s="107">
        <f t="shared" si="757"/>
        <v>0.80394329601467274</v>
      </c>
      <c r="AW418" s="107">
        <f t="shared" si="757"/>
        <v>0.81432059703545756</v>
      </c>
      <c r="AX418" s="107">
        <f t="shared" si="757"/>
        <v>0.80106859703550504</v>
      </c>
      <c r="AY418" s="107">
        <f t="shared" si="757"/>
        <v>0.81146981081642955</v>
      </c>
      <c r="AZ418" s="107">
        <f t="shared" si="757"/>
        <v>0.78482872294682526</v>
      </c>
      <c r="BA418" s="107">
        <f t="shared" ref="BA418:BI418" si="758">+BA416/BA412</f>
        <v>0.81985982929706469</v>
      </c>
      <c r="BB418" s="107">
        <f t="shared" si="758"/>
        <v>0.79375045103557773</v>
      </c>
      <c r="BC418" s="107">
        <f t="shared" si="758"/>
        <v>0.74083631276231932</v>
      </c>
      <c r="BD418" s="107">
        <f t="shared" si="758"/>
        <v>0.7867690696456624</v>
      </c>
      <c r="BE418" s="107">
        <f t="shared" si="758"/>
        <v>0.81421294415450485</v>
      </c>
      <c r="BF418" s="107">
        <f t="shared" si="758"/>
        <v>0.81813389562467054</v>
      </c>
      <c r="BG418" s="107">
        <f t="shared" si="758"/>
        <v>0.80815736331679588</v>
      </c>
      <c r="BH418" s="107">
        <f t="shared" si="758"/>
        <v>0.81785763269784661</v>
      </c>
      <c r="BI418" s="107">
        <f t="shared" si="758"/>
        <v>0.81295590079598679</v>
      </c>
      <c r="BJ418" s="107">
        <f t="shared" ref="BJ418" si="759">+BJ416/BJ412</f>
        <v>0.81830052477272164</v>
      </c>
      <c r="BK418" s="107"/>
      <c r="BL418" s="107"/>
      <c r="BM418" s="107"/>
      <c r="BN418" s="107"/>
      <c r="BO418" s="107"/>
      <c r="BP418" s="107"/>
      <c r="BQ418" s="107">
        <f t="shared" si="756"/>
        <v>0.73202614379084963</v>
      </c>
      <c r="BR418" s="107">
        <f t="shared" si="756"/>
        <v>0.54411764705882348</v>
      </c>
      <c r="BS418" s="107">
        <f t="shared" si="756"/>
        <v>0.71299871299871298</v>
      </c>
      <c r="BT418" s="107">
        <f t="shared" si="756"/>
        <v>0.75025329280648434</v>
      </c>
      <c r="BU418" s="107">
        <f t="shared" si="756"/>
        <v>0.76825653462678523</v>
      </c>
      <c r="BV418" s="107">
        <f t="shared" si="756"/>
        <v>0.73197091766555311</v>
      </c>
      <c r="BW418" s="107">
        <f t="shared" si="756"/>
        <v>0.76168699186991873</v>
      </c>
      <c r="BX418" s="107">
        <f t="shared" si="756"/>
        <v>0.82729022942403341</v>
      </c>
      <c r="BY418" s="107">
        <f t="shared" si="756"/>
        <v>0.84012941373347461</v>
      </c>
      <c r="BZ418" s="107">
        <f t="shared" si="756"/>
        <v>0.86290614371517471</v>
      </c>
      <c r="CA418" s="107">
        <f t="shared" si="756"/>
        <v>0.86581556096721024</v>
      </c>
      <c r="CB418" s="107">
        <f t="shared" si="756"/>
        <v>0.8324617643898421</v>
      </c>
      <c r="CC418" s="107">
        <f t="shared" si="756"/>
        <v>0.81936998741106415</v>
      </c>
      <c r="CD418" s="107">
        <f>+CD416/CD412</f>
        <v>0.80583021194425708</v>
      </c>
      <c r="CE418" s="107">
        <f>+CE416/CE412</f>
        <v>0.80794376277251567</v>
      </c>
      <c r="CF418" s="107">
        <f>+CF416/CF412</f>
        <v>0.78347297378418479</v>
      </c>
      <c r="CG418" s="107">
        <f>+CG416/CG412</f>
        <v>0.80757740861817184</v>
      </c>
      <c r="CH418" s="107"/>
      <c r="CI418" s="107"/>
    </row>
    <row r="420" spans="2:87" x14ac:dyDescent="0.2">
      <c r="B420" t="s">
        <v>121</v>
      </c>
      <c r="D420" s="81">
        <v>25</v>
      </c>
      <c r="E420" s="81">
        <v>32</v>
      </c>
      <c r="F420" s="81">
        <v>41</v>
      </c>
      <c r="G420" s="81">
        <v>45</v>
      </c>
      <c r="H420" s="81">
        <v>57</v>
      </c>
      <c r="I420" s="81">
        <v>99</v>
      </c>
      <c r="J420" s="81">
        <v>108</v>
      </c>
      <c r="K420" s="81">
        <v>124</v>
      </c>
      <c r="L420" s="81">
        <v>153</v>
      </c>
      <c r="M420" s="81">
        <v>705</v>
      </c>
      <c r="N420" s="81">
        <v>244</v>
      </c>
      <c r="O420" s="81">
        <v>297</v>
      </c>
      <c r="P420" s="81">
        <v>293</v>
      </c>
      <c r="Q420" s="81">
        <v>344</v>
      </c>
      <c r="R420" s="81">
        <v>369</v>
      </c>
      <c r="S420" s="81">
        <v>408</v>
      </c>
      <c r="T420" s="81">
        <v>455</v>
      </c>
      <c r="U420" s="81">
        <v>492</v>
      </c>
      <c r="V420" s="81">
        <v>608</v>
      </c>
      <c r="W420" s="81">
        <v>1111</v>
      </c>
      <c r="X420" s="81">
        <v>1062</v>
      </c>
      <c r="Y420" s="81">
        <v>1170</v>
      </c>
      <c r="Z420" s="81">
        <v>1271</v>
      </c>
      <c r="AA420" s="81">
        <v>1314</v>
      </c>
      <c r="AB420" s="81">
        <v>1343</v>
      </c>
      <c r="AC420" s="81">
        <v>1471</v>
      </c>
      <c r="AD420" s="81">
        <v>1542</v>
      </c>
      <c r="AE420" s="81">
        <v>1563</v>
      </c>
      <c r="AF420" s="81">
        <v>1834</v>
      </c>
      <c r="AG420" s="81">
        <v>1919</v>
      </c>
      <c r="AH420" s="81">
        <v>2052</v>
      </c>
      <c r="AI420" s="81">
        <v>1949</v>
      </c>
      <c r="AJ420" s="81">
        <v>2238</v>
      </c>
      <c r="AK420" s="81">
        <v>2523</v>
      </c>
      <c r="AL420" s="81">
        <v>2657</v>
      </c>
      <c r="AM420" s="81">
        <v>2855</v>
      </c>
      <c r="AN420" s="81">
        <v>2860</v>
      </c>
      <c r="AO420" s="81">
        <v>3315</v>
      </c>
      <c r="AP420" s="81">
        <v>3548</v>
      </c>
      <c r="AQ420" s="81">
        <v>3877</v>
      </c>
      <c r="AR420" s="81">
        <v>4015</v>
      </c>
      <c r="AS420" s="81">
        <v>4462</v>
      </c>
      <c r="AT420" s="81">
        <v>4763</v>
      </c>
      <c r="AU420" s="81">
        <v>5208</v>
      </c>
      <c r="AV420" s="81">
        <v>5197</v>
      </c>
      <c r="AW420" s="81">
        <v>6096</v>
      </c>
      <c r="AX420" s="81">
        <v>6316</v>
      </c>
      <c r="AY420" s="81">
        <v>7046</v>
      </c>
      <c r="AZ420" s="81">
        <v>7707</v>
      </c>
      <c r="BA420" s="81">
        <v>8690</v>
      </c>
      <c r="BB420" s="81">
        <v>9170</v>
      </c>
      <c r="BC420" s="81">
        <v>9771</v>
      </c>
      <c r="BD420" s="81">
        <v>9381</v>
      </c>
      <c r="BE420" s="81">
        <v>9344</v>
      </c>
      <c r="BF420" s="81">
        <v>9241</v>
      </c>
      <c r="BG420" s="81">
        <v>10517</v>
      </c>
      <c r="BH420" s="81">
        <v>9978</v>
      </c>
      <c r="BI420" s="81">
        <v>10537</v>
      </c>
      <c r="BJ420" s="81">
        <v>11177</v>
      </c>
      <c r="BK420" s="81"/>
      <c r="BL420" s="81"/>
      <c r="BM420" s="81"/>
      <c r="BN420" s="81"/>
      <c r="BO420" s="81"/>
      <c r="BQ420" s="81">
        <v>81</v>
      </c>
      <c r="BR420" s="81">
        <v>47</v>
      </c>
      <c r="BS420" s="81">
        <v>87</v>
      </c>
      <c r="BT420" s="81">
        <v>144</v>
      </c>
      <c r="BU420" s="64">
        <f>+SUM(H420:K420)</f>
        <v>388</v>
      </c>
      <c r="BV420" s="64">
        <f>+SUM(L420:O420)</f>
        <v>1399</v>
      </c>
      <c r="BW420" s="64">
        <f>+SUM(P420:S420)</f>
        <v>1414</v>
      </c>
      <c r="BX420" s="64">
        <f>+SUM(T420:W420)</f>
        <v>2666</v>
      </c>
      <c r="BY420" s="64">
        <f>+SUM(X420:AA420)</f>
        <v>4817</v>
      </c>
      <c r="BZ420" s="64">
        <f>+SUM(AB420:AE420)</f>
        <v>5919</v>
      </c>
      <c r="CA420" s="64">
        <f>+SUM(AF420:AI420)</f>
        <v>7754</v>
      </c>
      <c r="CB420" s="64">
        <f>+SUM(AJ420:AM420)</f>
        <v>10273</v>
      </c>
      <c r="CC420" s="64">
        <f>+SUM(AN420:AQ420)</f>
        <v>13600</v>
      </c>
      <c r="CD420" s="64">
        <f>+SUM(AR420:AU420)</f>
        <v>18448</v>
      </c>
      <c r="CE420" s="64">
        <f>+SUM(AV420:AY420)</f>
        <v>24655</v>
      </c>
      <c r="CF420" s="64">
        <f>+SUM(AZ420:BC420)</f>
        <v>35338</v>
      </c>
      <c r="CG420" s="64">
        <f>+SUM(BD420:BG420)</f>
        <v>38483</v>
      </c>
      <c r="CH420" s="64"/>
      <c r="CI420" s="64"/>
    </row>
    <row r="421" spans="2:87" x14ac:dyDescent="0.2">
      <c r="B421" t="s">
        <v>122</v>
      </c>
      <c r="D421" s="81">
        <v>36</v>
      </c>
      <c r="E421" s="81">
        <v>44</v>
      </c>
      <c r="F421" s="81">
        <v>45</v>
      </c>
      <c r="G421" s="81">
        <v>59</v>
      </c>
      <c r="H421" s="81">
        <v>62</v>
      </c>
      <c r="I421" s="81">
        <v>96</v>
      </c>
      <c r="J421" s="81">
        <v>114</v>
      </c>
      <c r="K421" s="81">
        <v>120</v>
      </c>
      <c r="L421" s="81">
        <v>143</v>
      </c>
      <c r="M421" s="81">
        <v>392</v>
      </c>
      <c r="N421" s="81">
        <v>168</v>
      </c>
      <c r="O421" s="81">
        <v>193</v>
      </c>
      <c r="P421" s="81">
        <v>203</v>
      </c>
      <c r="Q421" s="81">
        <v>269</v>
      </c>
      <c r="R421" s="81">
        <v>233</v>
      </c>
      <c r="S421" s="81">
        <v>292</v>
      </c>
      <c r="T421" s="81">
        <v>323</v>
      </c>
      <c r="U421" s="81">
        <v>358</v>
      </c>
      <c r="V421" s="81">
        <v>374</v>
      </c>
      <c r="W421" s="81">
        <v>624</v>
      </c>
      <c r="X421" s="81">
        <v>620</v>
      </c>
      <c r="Y421" s="81">
        <v>626</v>
      </c>
      <c r="Z421" s="81">
        <v>706</v>
      </c>
      <c r="AA421" s="81">
        <v>772</v>
      </c>
      <c r="AB421" s="81">
        <v>826</v>
      </c>
      <c r="AC421" s="81">
        <v>901</v>
      </c>
      <c r="AD421" s="81">
        <v>926</v>
      </c>
      <c r="AE421" s="81">
        <v>1118</v>
      </c>
      <c r="AF421" s="81">
        <v>1057</v>
      </c>
      <c r="AG421" s="81">
        <v>1124</v>
      </c>
      <c r="AH421" s="81">
        <v>1170</v>
      </c>
      <c r="AI421" s="81">
        <v>1374</v>
      </c>
      <c r="AJ421" s="81">
        <v>1595</v>
      </c>
      <c r="AK421" s="81">
        <v>1855</v>
      </c>
      <c r="AL421" s="81">
        <v>1928</v>
      </c>
      <c r="AM421" s="81">
        <v>2467</v>
      </c>
      <c r="AN421" s="81">
        <v>2020</v>
      </c>
      <c r="AO421" s="81">
        <v>2414</v>
      </c>
      <c r="AP421" s="81">
        <v>2416</v>
      </c>
      <c r="AQ421" s="81">
        <v>3026</v>
      </c>
      <c r="AR421" s="81">
        <v>2787</v>
      </c>
      <c r="AS421" s="81">
        <v>2840</v>
      </c>
      <c r="AT421" s="81">
        <v>2683</v>
      </c>
      <c r="AU421" s="81">
        <v>3280</v>
      </c>
      <c r="AV421" s="81">
        <v>2843</v>
      </c>
      <c r="AW421" s="81">
        <v>3259</v>
      </c>
      <c r="AX421" s="81">
        <v>3554</v>
      </c>
      <c r="AY421" s="81">
        <v>4387</v>
      </c>
      <c r="AZ421" s="81">
        <v>3312</v>
      </c>
      <c r="BA421" s="81">
        <v>3595</v>
      </c>
      <c r="BB421" s="81">
        <v>3780</v>
      </c>
      <c r="BC421" s="81">
        <v>4574</v>
      </c>
      <c r="BD421" s="81">
        <v>3044</v>
      </c>
      <c r="BE421" s="81">
        <v>3154</v>
      </c>
      <c r="BF421" s="81">
        <v>2877</v>
      </c>
      <c r="BG421" s="81">
        <v>3226</v>
      </c>
      <c r="BH421" s="81">
        <v>2564</v>
      </c>
      <c r="BI421" s="81">
        <v>2721</v>
      </c>
      <c r="BJ421" s="81">
        <v>2822</v>
      </c>
      <c r="BK421" s="81"/>
      <c r="BL421" s="81"/>
      <c r="BM421" s="81"/>
      <c r="BN421" s="81"/>
      <c r="BO421" s="81"/>
      <c r="BQ421" s="81">
        <v>32</v>
      </c>
      <c r="BR421" s="81">
        <v>76</v>
      </c>
      <c r="BS421" s="81">
        <v>115</v>
      </c>
      <c r="BT421" s="81">
        <v>184</v>
      </c>
      <c r="BU421" s="64">
        <f>+SUM(H421:K421)</f>
        <v>392</v>
      </c>
      <c r="BV421" s="64">
        <f>+SUM(L421:O421)</f>
        <v>896</v>
      </c>
      <c r="BW421" s="64">
        <f>+SUM(P421:S421)</f>
        <v>997</v>
      </c>
      <c r="BX421" s="64">
        <f>+SUM(T421:W421)</f>
        <v>1679</v>
      </c>
      <c r="BY421" s="64">
        <f>+SUM(X421:AA421)</f>
        <v>2724</v>
      </c>
      <c r="BZ421" s="64">
        <f>+SUM(AB421:AE421)</f>
        <v>3771</v>
      </c>
      <c r="CA421" s="64">
        <f>+SUM(AF421:AI421)</f>
        <v>4725</v>
      </c>
      <c r="CB421" s="64">
        <f>+SUM(AJ421:AM421)</f>
        <v>7845</v>
      </c>
      <c r="CC421" s="64">
        <f>+SUM(AN421:AQ421)</f>
        <v>9876</v>
      </c>
      <c r="CD421" s="64">
        <f>+SUM(AR421:AU421)</f>
        <v>11590</v>
      </c>
      <c r="CE421" s="64">
        <f>+SUM(AV421:AY421)</f>
        <v>14043</v>
      </c>
      <c r="CF421" s="64">
        <f>+SUM(AZ421:BC421)</f>
        <v>15261</v>
      </c>
      <c r="CG421" s="64">
        <f>+SUM(BD421:BG421)</f>
        <v>12301</v>
      </c>
      <c r="CH421" s="64"/>
      <c r="CI421" s="64"/>
    </row>
    <row r="422" spans="2:87" ht="13.5" x14ac:dyDescent="0.35">
      <c r="B422" t="s">
        <v>123</v>
      </c>
      <c r="D422" s="82">
        <v>22</v>
      </c>
      <c r="E422" s="82">
        <v>26</v>
      </c>
      <c r="F422" s="82">
        <v>34</v>
      </c>
      <c r="G422" s="82">
        <v>40</v>
      </c>
      <c r="H422" s="82">
        <v>57</v>
      </c>
      <c r="I422" s="82">
        <v>83</v>
      </c>
      <c r="J422" s="82">
        <v>82</v>
      </c>
      <c r="K422" s="82">
        <v>92</v>
      </c>
      <c r="L422" s="82">
        <v>104</v>
      </c>
      <c r="M422" s="82">
        <v>463</v>
      </c>
      <c r="N422" s="82">
        <v>151</v>
      </c>
      <c r="O422" s="82">
        <v>174</v>
      </c>
      <c r="P422" s="82">
        <v>176</v>
      </c>
      <c r="Q422" s="82">
        <v>173</v>
      </c>
      <c r="R422" s="82">
        <v>171</v>
      </c>
      <c r="S422" s="82">
        <v>261</v>
      </c>
      <c r="T422" s="82">
        <v>187</v>
      </c>
      <c r="U422" s="82">
        <v>197</v>
      </c>
      <c r="V422" s="82">
        <v>259</v>
      </c>
      <c r="W422" s="82">
        <v>330</v>
      </c>
      <c r="X422" s="82">
        <v>274</v>
      </c>
      <c r="Y422" s="82">
        <v>305</v>
      </c>
      <c r="Z422" s="82">
        <v>345</v>
      </c>
      <c r="AA422" s="82">
        <v>371</v>
      </c>
      <c r="AB422" s="82">
        <v>365</v>
      </c>
      <c r="AC422" s="82">
        <v>413</v>
      </c>
      <c r="AD422" s="82">
        <v>439</v>
      </c>
      <c r="AE422" s="82">
        <v>515</v>
      </c>
      <c r="AF422" s="82">
        <v>655</v>
      </c>
      <c r="AG422" s="82">
        <v>640</v>
      </c>
      <c r="AH422" s="82">
        <v>536</v>
      </c>
      <c r="AI422" s="82">
        <v>686</v>
      </c>
      <c r="AJ422" s="82">
        <v>757</v>
      </c>
      <c r="AK422" s="82">
        <v>776</v>
      </c>
      <c r="AL422" s="82">
        <v>943</v>
      </c>
      <c r="AM422" s="82">
        <v>976</v>
      </c>
      <c r="AN422" s="82">
        <v>4064</v>
      </c>
      <c r="AO422" s="82">
        <v>3224</v>
      </c>
      <c r="AP422" s="82">
        <v>1348</v>
      </c>
      <c r="AQ422" s="82">
        <v>1829</v>
      </c>
      <c r="AR422" s="82">
        <v>1583</v>
      </c>
      <c r="AS422" s="82">
        <v>1593</v>
      </c>
      <c r="AT422" s="82">
        <v>1790</v>
      </c>
      <c r="AU422" s="82">
        <v>1599</v>
      </c>
      <c r="AV422" s="82">
        <v>1622</v>
      </c>
      <c r="AW422" s="82">
        <v>1956</v>
      </c>
      <c r="AX422" s="82">
        <v>2946</v>
      </c>
      <c r="AY422" s="82">
        <v>3305</v>
      </c>
      <c r="AZ422" s="82">
        <v>2360</v>
      </c>
      <c r="BA422" s="82">
        <v>2987</v>
      </c>
      <c r="BB422" s="82">
        <v>3384</v>
      </c>
      <c r="BC422" s="82">
        <v>3085</v>
      </c>
      <c r="BD422" s="82">
        <v>2885</v>
      </c>
      <c r="BE422" s="82">
        <v>4164</v>
      </c>
      <c r="BF422" s="82">
        <v>2070</v>
      </c>
      <c r="BG422" s="82">
        <v>2289</v>
      </c>
      <c r="BH422" s="82">
        <v>3455</v>
      </c>
      <c r="BI422" s="82">
        <v>3658</v>
      </c>
      <c r="BJ422" s="82">
        <v>1865</v>
      </c>
      <c r="BK422" s="82"/>
      <c r="BL422" s="82"/>
      <c r="BM422" s="82"/>
      <c r="BN422" s="82"/>
      <c r="BO422" s="82"/>
      <c r="BQ422" s="82">
        <v>123</v>
      </c>
      <c r="BR422" s="82">
        <v>80</v>
      </c>
      <c r="BS422" s="82">
        <v>90</v>
      </c>
      <c r="BT422" s="82">
        <v>121</v>
      </c>
      <c r="BU422" s="65">
        <f>+SUM(H422:K422)</f>
        <v>314</v>
      </c>
      <c r="BV422" s="65">
        <f>+SUM(L422:O422)</f>
        <v>892</v>
      </c>
      <c r="BW422" s="65">
        <f>+SUM(P422:S422)</f>
        <v>781</v>
      </c>
      <c r="BX422" s="65">
        <f>+SUM(T422:W422)</f>
        <v>973</v>
      </c>
      <c r="BY422" s="65">
        <f>+SUM(X422:AA422)</f>
        <v>1295</v>
      </c>
      <c r="BZ422" s="65">
        <f>+SUM(AB422:AE422)</f>
        <v>1732</v>
      </c>
      <c r="CA422" s="65">
        <f>+SUM(AF422:AI422)</f>
        <v>2517</v>
      </c>
      <c r="CB422" s="65">
        <f>+SUM(AJ422:AM422)</f>
        <v>3452</v>
      </c>
      <c r="CC422" s="65">
        <f>+SUM(AN422:AQ422)</f>
        <v>10465</v>
      </c>
      <c r="CD422" s="65">
        <f>+SUM(AR422:AU422)</f>
        <v>6565</v>
      </c>
      <c r="CE422" s="65">
        <f>+SUM(AV422:AY422)</f>
        <v>9829</v>
      </c>
      <c r="CF422" s="65">
        <f>+SUM(AZ422:BC422)</f>
        <v>11816</v>
      </c>
      <c r="CG422" s="65">
        <f>+SUM(BD422:BG422)</f>
        <v>11408</v>
      </c>
      <c r="CH422" s="65"/>
      <c r="CI422" s="65"/>
    </row>
    <row r="423" spans="2:87" x14ac:dyDescent="0.2">
      <c r="B423" s="70" t="s">
        <v>124</v>
      </c>
      <c r="D423" s="64">
        <f>SUM(D420:D422)</f>
        <v>83</v>
      </c>
      <c r="E423" s="64">
        <f>SUM(E420:E422)</f>
        <v>102</v>
      </c>
      <c r="F423" s="64">
        <f>SUM(F420:F422)</f>
        <v>120</v>
      </c>
      <c r="G423" s="64">
        <f>SUM(G420:G422)</f>
        <v>144</v>
      </c>
      <c r="H423" s="64">
        <f>SUM(H420:H422)</f>
        <v>176</v>
      </c>
      <c r="I423" s="64">
        <f t="shared" ref="I423:Y423" si="760">SUM(I420:I422)</f>
        <v>278</v>
      </c>
      <c r="J423" s="64">
        <f t="shared" si="760"/>
        <v>304</v>
      </c>
      <c r="K423" s="64">
        <f t="shared" si="760"/>
        <v>336</v>
      </c>
      <c r="L423" s="64">
        <f t="shared" si="760"/>
        <v>400</v>
      </c>
      <c r="M423" s="64">
        <f t="shared" si="760"/>
        <v>1560</v>
      </c>
      <c r="N423" s="64">
        <f t="shared" si="760"/>
        <v>563</v>
      </c>
      <c r="O423" s="64">
        <f t="shared" si="760"/>
        <v>664</v>
      </c>
      <c r="P423" s="64">
        <f t="shared" si="760"/>
        <v>672</v>
      </c>
      <c r="Q423" s="64">
        <f t="shared" si="760"/>
        <v>786</v>
      </c>
      <c r="R423" s="64">
        <f t="shared" si="760"/>
        <v>773</v>
      </c>
      <c r="S423" s="64">
        <f t="shared" si="760"/>
        <v>961</v>
      </c>
      <c r="T423" s="64">
        <f t="shared" si="760"/>
        <v>965</v>
      </c>
      <c r="U423" s="64">
        <f t="shared" si="760"/>
        <v>1047</v>
      </c>
      <c r="V423" s="64">
        <f t="shared" si="760"/>
        <v>1241</v>
      </c>
      <c r="W423" s="64">
        <f t="shared" si="760"/>
        <v>2065</v>
      </c>
      <c r="X423" s="64">
        <f t="shared" si="760"/>
        <v>1956</v>
      </c>
      <c r="Y423" s="64">
        <f t="shared" si="760"/>
        <v>2101</v>
      </c>
      <c r="Z423" s="64">
        <f>SUM(Z420:Z422)</f>
        <v>2322</v>
      </c>
      <c r="AA423" s="64">
        <f t="shared" ref="AA423:CB423" si="761">SUM(AA420:AA422)</f>
        <v>2457</v>
      </c>
      <c r="AB423" s="64">
        <f t="shared" si="761"/>
        <v>2534</v>
      </c>
      <c r="AC423" s="64">
        <f t="shared" si="761"/>
        <v>2785</v>
      </c>
      <c r="AD423" s="64">
        <f t="shared" si="761"/>
        <v>2907</v>
      </c>
      <c r="AE423" s="64">
        <f t="shared" si="761"/>
        <v>3196</v>
      </c>
      <c r="AF423" s="64">
        <f t="shared" si="761"/>
        <v>3546</v>
      </c>
      <c r="AG423" s="64">
        <f t="shared" si="761"/>
        <v>3683</v>
      </c>
      <c r="AH423" s="64">
        <f t="shared" si="761"/>
        <v>3758</v>
      </c>
      <c r="AI423" s="64">
        <f t="shared" si="761"/>
        <v>4009</v>
      </c>
      <c r="AJ423" s="64">
        <f t="shared" si="761"/>
        <v>4590</v>
      </c>
      <c r="AK423" s="64">
        <f t="shared" si="761"/>
        <v>5154</v>
      </c>
      <c r="AL423" s="64">
        <f t="shared" si="761"/>
        <v>5528</v>
      </c>
      <c r="AM423" s="64">
        <f t="shared" si="761"/>
        <v>6298</v>
      </c>
      <c r="AN423" s="64">
        <f t="shared" si="761"/>
        <v>8944</v>
      </c>
      <c r="AO423" s="64">
        <f t="shared" si="761"/>
        <v>8953</v>
      </c>
      <c r="AP423" s="64">
        <f t="shared" si="761"/>
        <v>7312</v>
      </c>
      <c r="AQ423" s="64">
        <f t="shared" si="761"/>
        <v>8732</v>
      </c>
      <c r="AR423" s="64">
        <f t="shared" si="761"/>
        <v>8385</v>
      </c>
      <c r="AS423" s="64">
        <f t="shared" si="761"/>
        <v>8895</v>
      </c>
      <c r="AT423" s="64">
        <f t="shared" si="761"/>
        <v>9236</v>
      </c>
      <c r="AU423" s="64">
        <f t="shared" ref="AU423:AZ423" si="762">SUM(AU420:AU422)</f>
        <v>10087</v>
      </c>
      <c r="AV423" s="64">
        <f t="shared" si="762"/>
        <v>9662</v>
      </c>
      <c r="AW423" s="64">
        <f t="shared" si="762"/>
        <v>11311</v>
      </c>
      <c r="AX423" s="64">
        <f t="shared" si="762"/>
        <v>12816</v>
      </c>
      <c r="AY423" s="64">
        <f t="shared" si="762"/>
        <v>14738</v>
      </c>
      <c r="AZ423" s="64">
        <f t="shared" si="762"/>
        <v>13379</v>
      </c>
      <c r="BA423" s="64">
        <f t="shared" ref="BA423:BI423" si="763">SUM(BA420:BA422)</f>
        <v>15272</v>
      </c>
      <c r="BB423" s="64">
        <f t="shared" si="763"/>
        <v>16334</v>
      </c>
      <c r="BC423" s="64">
        <f t="shared" si="763"/>
        <v>17430</v>
      </c>
      <c r="BD423" s="64">
        <f t="shared" si="763"/>
        <v>15310</v>
      </c>
      <c r="BE423" s="64">
        <f t="shared" si="763"/>
        <v>16662</v>
      </c>
      <c r="BF423" s="64">
        <f t="shared" si="763"/>
        <v>14188</v>
      </c>
      <c r="BG423" s="64">
        <f t="shared" si="763"/>
        <v>16032</v>
      </c>
      <c r="BH423" s="64">
        <f t="shared" si="763"/>
        <v>15997</v>
      </c>
      <c r="BI423" s="64">
        <f t="shared" si="763"/>
        <v>16916</v>
      </c>
      <c r="BJ423" s="64">
        <f t="shared" ref="BJ423" si="764">SUM(BJ420:BJ422)</f>
        <v>15864</v>
      </c>
      <c r="BK423" s="64"/>
      <c r="BL423" s="64"/>
      <c r="BM423" s="64"/>
      <c r="BN423" s="64"/>
      <c r="BO423" s="64"/>
      <c r="BQ423" s="64">
        <f t="shared" si="761"/>
        <v>236</v>
      </c>
      <c r="BR423" s="64">
        <f t="shared" si="761"/>
        <v>203</v>
      </c>
      <c r="BS423" s="64">
        <f t="shared" si="761"/>
        <v>292</v>
      </c>
      <c r="BT423" s="64">
        <f t="shared" si="761"/>
        <v>449</v>
      </c>
      <c r="BU423" s="64">
        <f t="shared" si="761"/>
        <v>1094</v>
      </c>
      <c r="BV423" s="64">
        <f t="shared" si="761"/>
        <v>3187</v>
      </c>
      <c r="BW423" s="64">
        <f t="shared" si="761"/>
        <v>3192</v>
      </c>
      <c r="BX423" s="64">
        <f t="shared" si="761"/>
        <v>5318</v>
      </c>
      <c r="BY423" s="64">
        <f t="shared" si="761"/>
        <v>8836</v>
      </c>
      <c r="BZ423" s="64">
        <f t="shared" si="761"/>
        <v>11422</v>
      </c>
      <c r="CA423" s="64">
        <f t="shared" si="761"/>
        <v>14996</v>
      </c>
      <c r="CB423" s="64">
        <f t="shared" si="761"/>
        <v>21570</v>
      </c>
      <c r="CC423" s="64">
        <f>+SUM(AN423:AQ423)</f>
        <v>33941</v>
      </c>
      <c r="CD423" s="64">
        <f>+SUM(AR423:AU423)</f>
        <v>36603</v>
      </c>
      <c r="CE423" s="64">
        <f>+SUM(AV423:AY423)</f>
        <v>48527</v>
      </c>
      <c r="CF423" s="64">
        <f>+SUM(AZ423:BC423)</f>
        <v>62415</v>
      </c>
      <c r="CG423" s="64">
        <f>+SUM(BD423:BG423)</f>
        <v>62192</v>
      </c>
      <c r="CH423" s="64"/>
      <c r="CI423" s="64"/>
    </row>
    <row r="425" spans="2:87" x14ac:dyDescent="0.2">
      <c r="B425" s="62" t="s">
        <v>236</v>
      </c>
    </row>
    <row r="426" spans="2:87" x14ac:dyDescent="0.2">
      <c r="B426" s="60" t="s">
        <v>121</v>
      </c>
      <c r="C426" s="106"/>
      <c r="D426" s="106"/>
      <c r="E426" s="106"/>
      <c r="F426" s="106"/>
      <c r="G426" s="106"/>
      <c r="H426" s="106">
        <f t="shared" ref="H426:Q428" si="765">+H420/D420-1</f>
        <v>1.2799999999999998</v>
      </c>
      <c r="I426" s="106">
        <f t="shared" si="765"/>
        <v>2.09375</v>
      </c>
      <c r="J426" s="106">
        <f t="shared" si="765"/>
        <v>1.6341463414634148</v>
      </c>
      <c r="K426" s="106">
        <f t="shared" si="765"/>
        <v>1.7555555555555555</v>
      </c>
      <c r="L426" s="106">
        <f t="shared" si="765"/>
        <v>1.6842105263157894</v>
      </c>
      <c r="M426" s="106">
        <f t="shared" si="765"/>
        <v>6.1212121212121211</v>
      </c>
      <c r="N426" s="106">
        <f t="shared" si="765"/>
        <v>1.2592592592592591</v>
      </c>
      <c r="O426" s="106">
        <f t="shared" si="765"/>
        <v>1.3951612903225805</v>
      </c>
      <c r="P426" s="106">
        <f t="shared" si="765"/>
        <v>0.91503267973856217</v>
      </c>
      <c r="Q426" s="106">
        <f t="shared" si="765"/>
        <v>-0.51205673758865244</v>
      </c>
      <c r="R426" s="106">
        <f t="shared" ref="R426:AA428" si="766">+R420/N420-1</f>
        <v>0.51229508196721318</v>
      </c>
      <c r="S426" s="106">
        <f t="shared" si="766"/>
        <v>0.3737373737373737</v>
      </c>
      <c r="T426" s="106">
        <f t="shared" si="766"/>
        <v>0.55290102389078499</v>
      </c>
      <c r="U426" s="106">
        <f t="shared" si="766"/>
        <v>0.43023255813953498</v>
      </c>
      <c r="V426" s="106">
        <f t="shared" si="766"/>
        <v>0.64769647696476973</v>
      </c>
      <c r="W426" s="106">
        <f t="shared" si="766"/>
        <v>1.7230392156862746</v>
      </c>
      <c r="X426" s="106">
        <f t="shared" si="766"/>
        <v>1.3340659340659342</v>
      </c>
      <c r="Y426" s="106">
        <f t="shared" si="766"/>
        <v>1.3780487804878048</v>
      </c>
      <c r="Z426" s="106">
        <f t="shared" si="766"/>
        <v>1.0904605263157894</v>
      </c>
      <c r="AA426" s="106">
        <f t="shared" si="766"/>
        <v>0.1827182718271827</v>
      </c>
      <c r="AB426" s="106">
        <f t="shared" ref="AB426:AK428" si="767">+AB420/X420-1</f>
        <v>0.26459510357815441</v>
      </c>
      <c r="AC426" s="106">
        <f t="shared" si="767"/>
        <v>0.25726495726495724</v>
      </c>
      <c r="AD426" s="106">
        <f t="shared" si="767"/>
        <v>0.21321793863099914</v>
      </c>
      <c r="AE426" s="106">
        <f t="shared" si="767"/>
        <v>0.18949771689497719</v>
      </c>
      <c r="AF426" s="106">
        <f t="shared" si="767"/>
        <v>0.36559940431868942</v>
      </c>
      <c r="AG426" s="106">
        <f t="shared" si="767"/>
        <v>0.30455472467709033</v>
      </c>
      <c r="AH426" s="106">
        <f t="shared" si="767"/>
        <v>0.33073929961089488</v>
      </c>
      <c r="AI426" s="106">
        <f t="shared" si="767"/>
        <v>0.24696097248880355</v>
      </c>
      <c r="AJ426" s="106">
        <f t="shared" si="767"/>
        <v>0.22028353326063255</v>
      </c>
      <c r="AK426" s="106">
        <f t="shared" si="767"/>
        <v>0.31474726420010413</v>
      </c>
      <c r="AL426" s="106">
        <f t="shared" ref="AL426:AU428" si="768">+AL420/AH420-1</f>
        <v>0.29483430799220267</v>
      </c>
      <c r="AM426" s="106">
        <f t="shared" si="768"/>
        <v>0.46485377116469984</v>
      </c>
      <c r="AN426" s="106">
        <f t="shared" si="768"/>
        <v>0.27792672028596965</v>
      </c>
      <c r="AO426" s="106">
        <f t="shared" si="768"/>
        <v>0.31391200951248521</v>
      </c>
      <c r="AP426" s="106">
        <f t="shared" si="768"/>
        <v>0.33534060971019941</v>
      </c>
      <c r="AQ426" s="106">
        <f t="shared" si="768"/>
        <v>0.35796847635726792</v>
      </c>
      <c r="AR426" s="106">
        <f t="shared" si="768"/>
        <v>0.40384615384615374</v>
      </c>
      <c r="AS426" s="106">
        <f t="shared" si="768"/>
        <v>0.34600301659125199</v>
      </c>
      <c r="AT426" s="106">
        <f t="shared" si="768"/>
        <v>0.34244644870349483</v>
      </c>
      <c r="AU426" s="106">
        <f t="shared" si="768"/>
        <v>0.34330668042300738</v>
      </c>
      <c r="AV426" s="106">
        <f t="shared" ref="AV426:BJ428" si="769">+AV420/AR420-1</f>
        <v>0.29439601494396017</v>
      </c>
      <c r="AW426" s="106">
        <f t="shared" si="769"/>
        <v>0.36620349619004933</v>
      </c>
      <c r="AX426" s="106">
        <f t="shared" si="769"/>
        <v>0.32605500734830994</v>
      </c>
      <c r="AY426" s="106">
        <f t="shared" si="769"/>
        <v>0.35291858678955457</v>
      </c>
      <c r="AZ426" s="106">
        <f t="shared" si="769"/>
        <v>0.48297094477583213</v>
      </c>
      <c r="BA426" s="106">
        <f t="shared" si="769"/>
        <v>0.42552493438320216</v>
      </c>
      <c r="BB426" s="106">
        <f t="shared" si="769"/>
        <v>0.45186827105763139</v>
      </c>
      <c r="BC426" s="106">
        <f t="shared" si="769"/>
        <v>0.38674425205790519</v>
      </c>
      <c r="BD426" s="106">
        <f t="shared" si="769"/>
        <v>0.21720513818606468</v>
      </c>
      <c r="BE426" s="106">
        <f t="shared" si="769"/>
        <v>7.5258918296893018E-2</v>
      </c>
      <c r="BF426" s="106">
        <f t="shared" si="769"/>
        <v>7.7426390403489975E-3</v>
      </c>
      <c r="BG426" s="106">
        <f t="shared" si="769"/>
        <v>7.6348377852829774E-2</v>
      </c>
      <c r="BH426" s="106">
        <f t="shared" si="769"/>
        <v>6.3639270866645337E-2</v>
      </c>
      <c r="BI426" s="106">
        <f t="shared" si="769"/>
        <v>0.12767551369863006</v>
      </c>
      <c r="BJ426" s="106">
        <f t="shared" si="769"/>
        <v>0.20950113624066669</v>
      </c>
      <c r="BK426" s="106"/>
      <c r="BL426" s="106"/>
      <c r="BM426" s="106"/>
      <c r="BN426" s="106"/>
      <c r="BO426" s="106"/>
      <c r="BP426" s="106"/>
      <c r="BQ426" s="106"/>
      <c r="BR426" s="106">
        <f t="shared" ref="BR426:CG426" si="770">+BR420/BQ420-1</f>
        <v>-0.41975308641975306</v>
      </c>
      <c r="BS426" s="106">
        <f t="shared" si="770"/>
        <v>0.85106382978723394</v>
      </c>
      <c r="BT426" s="106">
        <f t="shared" si="770"/>
        <v>0.65517241379310343</v>
      </c>
      <c r="BU426" s="106">
        <f t="shared" si="770"/>
        <v>1.6944444444444446</v>
      </c>
      <c r="BV426" s="106">
        <f t="shared" si="770"/>
        <v>2.6056701030927836</v>
      </c>
      <c r="BW426" s="106">
        <f t="shared" si="770"/>
        <v>1.0721944245889903E-2</v>
      </c>
      <c r="BX426" s="106">
        <f t="shared" si="770"/>
        <v>0.88543140028288536</v>
      </c>
      <c r="BY426" s="106">
        <f t="shared" si="770"/>
        <v>0.80682670667666923</v>
      </c>
      <c r="BZ426" s="106">
        <f t="shared" si="770"/>
        <v>0.22877309528752332</v>
      </c>
      <c r="CA426" s="106">
        <f t="shared" si="770"/>
        <v>0.31001858422030759</v>
      </c>
      <c r="CB426" s="106">
        <f t="shared" si="770"/>
        <v>0.3248645860201187</v>
      </c>
      <c r="CC426" s="106">
        <f t="shared" si="770"/>
        <v>0.32385865861968277</v>
      </c>
      <c r="CD426" s="106">
        <f t="shared" si="770"/>
        <v>0.35647058823529409</v>
      </c>
      <c r="CE426" s="106">
        <f t="shared" si="770"/>
        <v>0.3364592367736341</v>
      </c>
      <c r="CF426" s="106">
        <f t="shared" si="770"/>
        <v>0.43329953356317175</v>
      </c>
      <c r="CG426" s="106">
        <f t="shared" si="770"/>
        <v>8.8997679551757303E-2</v>
      </c>
      <c r="CH426" s="106"/>
      <c r="CI426" s="106"/>
    </row>
    <row r="427" spans="2:87" x14ac:dyDescent="0.2">
      <c r="B427" s="60" t="s">
        <v>122</v>
      </c>
      <c r="C427" s="106"/>
      <c r="D427" s="106"/>
      <c r="E427" s="106"/>
      <c r="F427" s="106"/>
      <c r="G427" s="106"/>
      <c r="H427" s="106">
        <f t="shared" si="765"/>
        <v>0.72222222222222232</v>
      </c>
      <c r="I427" s="106">
        <f t="shared" si="765"/>
        <v>1.1818181818181817</v>
      </c>
      <c r="J427" s="106">
        <f t="shared" si="765"/>
        <v>1.5333333333333332</v>
      </c>
      <c r="K427" s="106">
        <f t="shared" si="765"/>
        <v>1.0338983050847457</v>
      </c>
      <c r="L427" s="106">
        <f t="shared" si="765"/>
        <v>1.306451612903226</v>
      </c>
      <c r="M427" s="106">
        <f t="shared" si="765"/>
        <v>3.083333333333333</v>
      </c>
      <c r="N427" s="106">
        <f t="shared" si="765"/>
        <v>0.47368421052631571</v>
      </c>
      <c r="O427" s="106">
        <f t="shared" si="765"/>
        <v>0.60833333333333339</v>
      </c>
      <c r="P427" s="106">
        <f t="shared" si="765"/>
        <v>0.41958041958041958</v>
      </c>
      <c r="Q427" s="106">
        <f t="shared" si="765"/>
        <v>-0.31377551020408168</v>
      </c>
      <c r="R427" s="106">
        <f t="shared" si="766"/>
        <v>0.38690476190476186</v>
      </c>
      <c r="S427" s="106">
        <f t="shared" si="766"/>
        <v>0.51295336787564771</v>
      </c>
      <c r="T427" s="106">
        <f t="shared" si="766"/>
        <v>0.59113300492610832</v>
      </c>
      <c r="U427" s="106">
        <f t="shared" si="766"/>
        <v>0.33085501858736066</v>
      </c>
      <c r="V427" s="106">
        <f t="shared" si="766"/>
        <v>0.60515021459227469</v>
      </c>
      <c r="W427" s="106">
        <f t="shared" si="766"/>
        <v>1.1369863013698631</v>
      </c>
      <c r="X427" s="106">
        <f t="shared" si="766"/>
        <v>0.91950464396284826</v>
      </c>
      <c r="Y427" s="106">
        <f t="shared" si="766"/>
        <v>0.74860335195530725</v>
      </c>
      <c r="Z427" s="106">
        <f t="shared" si="766"/>
        <v>0.88770053475935828</v>
      </c>
      <c r="AA427" s="106">
        <f t="shared" si="766"/>
        <v>0.23717948717948723</v>
      </c>
      <c r="AB427" s="106">
        <f t="shared" si="767"/>
        <v>0.33225806451612905</v>
      </c>
      <c r="AC427" s="106">
        <f t="shared" si="767"/>
        <v>0.43929712460063897</v>
      </c>
      <c r="AD427" s="106">
        <f t="shared" si="767"/>
        <v>0.31161473087818692</v>
      </c>
      <c r="AE427" s="106">
        <f t="shared" si="767"/>
        <v>0.44818652849740936</v>
      </c>
      <c r="AF427" s="106">
        <f t="shared" si="767"/>
        <v>0.27966101694915246</v>
      </c>
      <c r="AG427" s="106">
        <f t="shared" si="767"/>
        <v>0.24750277469478354</v>
      </c>
      <c r="AH427" s="106">
        <f t="shared" si="767"/>
        <v>0.26349892008639308</v>
      </c>
      <c r="AI427" s="106">
        <f t="shared" si="767"/>
        <v>0.22898032200357776</v>
      </c>
      <c r="AJ427" s="106">
        <f t="shared" si="767"/>
        <v>0.50898770104068114</v>
      </c>
      <c r="AK427" s="106">
        <f t="shared" si="767"/>
        <v>0.6503558718861211</v>
      </c>
      <c r="AL427" s="106">
        <f t="shared" si="768"/>
        <v>0.64786324786324778</v>
      </c>
      <c r="AM427" s="106">
        <f t="shared" si="768"/>
        <v>0.79548762736535661</v>
      </c>
      <c r="AN427" s="106">
        <f t="shared" si="768"/>
        <v>0.26645768025078365</v>
      </c>
      <c r="AO427" s="106">
        <f t="shared" si="768"/>
        <v>0.30134770889487861</v>
      </c>
      <c r="AP427" s="106">
        <f t="shared" si="768"/>
        <v>0.25311203319502074</v>
      </c>
      <c r="AQ427" s="106">
        <f t="shared" si="768"/>
        <v>0.22659100121605191</v>
      </c>
      <c r="AR427" s="106">
        <f t="shared" si="768"/>
        <v>0.3797029702970296</v>
      </c>
      <c r="AS427" s="106">
        <f t="shared" si="768"/>
        <v>0.17647058823529416</v>
      </c>
      <c r="AT427" s="106">
        <f t="shared" si="768"/>
        <v>0.11051324503311255</v>
      </c>
      <c r="AU427" s="106">
        <f t="shared" si="768"/>
        <v>8.393919365499003E-2</v>
      </c>
      <c r="AV427" s="106">
        <f t="shared" si="769"/>
        <v>2.0093290276282705E-2</v>
      </c>
      <c r="AW427" s="106">
        <f t="shared" si="769"/>
        <v>0.1475352112676056</v>
      </c>
      <c r="AX427" s="106">
        <f t="shared" si="769"/>
        <v>0.32463660081997769</v>
      </c>
      <c r="AY427" s="106">
        <f t="shared" si="769"/>
        <v>0.33749999999999991</v>
      </c>
      <c r="AZ427" s="106">
        <f t="shared" si="769"/>
        <v>0.16496658459373892</v>
      </c>
      <c r="BA427" s="106">
        <f t="shared" si="769"/>
        <v>0.10309911015648976</v>
      </c>
      <c r="BB427" s="106">
        <f t="shared" si="769"/>
        <v>6.3590320765334774E-2</v>
      </c>
      <c r="BC427" s="106">
        <f t="shared" si="769"/>
        <v>4.262594027809441E-2</v>
      </c>
      <c r="BD427" s="106">
        <f t="shared" si="769"/>
        <v>-8.0917874396135292E-2</v>
      </c>
      <c r="BE427" s="106">
        <f t="shared" si="769"/>
        <v>-0.12267037552155768</v>
      </c>
      <c r="BF427" s="106">
        <f t="shared" si="769"/>
        <v>-0.23888888888888893</v>
      </c>
      <c r="BG427" s="106">
        <f t="shared" si="769"/>
        <v>-0.29470922606034111</v>
      </c>
      <c r="BH427" s="106">
        <f t="shared" si="769"/>
        <v>-0.1576872536136662</v>
      </c>
      <c r="BI427" s="106">
        <f t="shared" si="769"/>
        <v>-0.13728598604946096</v>
      </c>
      <c r="BJ427" s="106">
        <f t="shared" si="769"/>
        <v>-1.911713590545705E-2</v>
      </c>
      <c r="BK427" s="106"/>
      <c r="BL427" s="106"/>
      <c r="BM427" s="106"/>
      <c r="BN427" s="106"/>
      <c r="BO427" s="106"/>
      <c r="BP427" s="106"/>
      <c r="BQ427" s="106"/>
      <c r="BR427" s="106">
        <f t="shared" ref="BR427:CG427" si="771">+BR421/BQ421-1</f>
        <v>1.375</v>
      </c>
      <c r="BS427" s="106">
        <f t="shared" si="771"/>
        <v>0.51315789473684204</v>
      </c>
      <c r="BT427" s="106">
        <f t="shared" si="771"/>
        <v>0.60000000000000009</v>
      </c>
      <c r="BU427" s="106">
        <f t="shared" si="771"/>
        <v>1.1304347826086958</v>
      </c>
      <c r="BV427" s="106">
        <f t="shared" si="771"/>
        <v>1.2857142857142856</v>
      </c>
      <c r="BW427" s="106">
        <f t="shared" si="771"/>
        <v>0.11272321428571419</v>
      </c>
      <c r="BX427" s="106">
        <f t="shared" si="771"/>
        <v>0.6840521564694082</v>
      </c>
      <c r="BY427" s="106">
        <f t="shared" si="771"/>
        <v>0.62239428231089944</v>
      </c>
      <c r="BZ427" s="106">
        <f t="shared" si="771"/>
        <v>0.38436123348017626</v>
      </c>
      <c r="CA427" s="106">
        <f t="shared" si="771"/>
        <v>0.25298329355608584</v>
      </c>
      <c r="CB427" s="106">
        <f t="shared" si="771"/>
        <v>0.66031746031746041</v>
      </c>
      <c r="CC427" s="106">
        <f t="shared" si="771"/>
        <v>0.25889101338432119</v>
      </c>
      <c r="CD427" s="106">
        <f t="shared" si="771"/>
        <v>0.17355204536249502</v>
      </c>
      <c r="CE427" s="106">
        <f t="shared" si="771"/>
        <v>0.21164797238999133</v>
      </c>
      <c r="CF427" s="106">
        <f t="shared" si="771"/>
        <v>8.6733603930783998E-2</v>
      </c>
      <c r="CG427" s="106">
        <f t="shared" si="771"/>
        <v>-0.19395845619553109</v>
      </c>
      <c r="CH427" s="106"/>
      <c r="CI427" s="106"/>
    </row>
    <row r="428" spans="2:87" ht="13.5" x14ac:dyDescent="0.35">
      <c r="B428" s="60" t="s">
        <v>123</v>
      </c>
      <c r="C428" s="106"/>
      <c r="D428" s="106"/>
      <c r="E428" s="106"/>
      <c r="F428" s="106"/>
      <c r="G428" s="106"/>
      <c r="H428" s="106">
        <f t="shared" si="765"/>
        <v>1.5909090909090908</v>
      </c>
      <c r="I428" s="106">
        <f t="shared" si="765"/>
        <v>2.1923076923076925</v>
      </c>
      <c r="J428" s="106">
        <f t="shared" si="765"/>
        <v>1.4117647058823528</v>
      </c>
      <c r="K428" s="106">
        <f t="shared" si="765"/>
        <v>1.2999999999999998</v>
      </c>
      <c r="L428" s="106">
        <f t="shared" si="765"/>
        <v>0.82456140350877183</v>
      </c>
      <c r="M428" s="106">
        <f t="shared" si="765"/>
        <v>4.5783132530120483</v>
      </c>
      <c r="N428" s="106">
        <f t="shared" si="765"/>
        <v>0.84146341463414642</v>
      </c>
      <c r="O428" s="106">
        <f t="shared" si="765"/>
        <v>0.89130434782608692</v>
      </c>
      <c r="P428" s="106">
        <f t="shared" si="765"/>
        <v>0.69230769230769229</v>
      </c>
      <c r="Q428" s="106">
        <f t="shared" si="765"/>
        <v>-0.62634989200863933</v>
      </c>
      <c r="R428" s="106">
        <f t="shared" si="766"/>
        <v>0.13245033112582782</v>
      </c>
      <c r="S428" s="106">
        <f t="shared" si="766"/>
        <v>0.5</v>
      </c>
      <c r="T428" s="106">
        <f t="shared" si="766"/>
        <v>6.25E-2</v>
      </c>
      <c r="U428" s="106">
        <f t="shared" si="766"/>
        <v>0.1387283236994219</v>
      </c>
      <c r="V428" s="106">
        <f t="shared" si="766"/>
        <v>0.51461988304093564</v>
      </c>
      <c r="W428" s="106">
        <f t="shared" si="766"/>
        <v>0.26436781609195403</v>
      </c>
      <c r="X428" s="106">
        <f t="shared" si="766"/>
        <v>0.46524064171123003</v>
      </c>
      <c r="Y428" s="106">
        <f t="shared" si="766"/>
        <v>0.5482233502538072</v>
      </c>
      <c r="Z428" s="106">
        <f t="shared" si="766"/>
        <v>0.33204633204633205</v>
      </c>
      <c r="AA428" s="106">
        <f t="shared" si="766"/>
        <v>0.12424242424242427</v>
      </c>
      <c r="AB428" s="106">
        <f t="shared" si="767"/>
        <v>0.33211678832116798</v>
      </c>
      <c r="AC428" s="106">
        <f t="shared" si="767"/>
        <v>0.35409836065573774</v>
      </c>
      <c r="AD428" s="106">
        <f t="shared" si="767"/>
        <v>0.27246376811594208</v>
      </c>
      <c r="AE428" s="106">
        <f t="shared" si="767"/>
        <v>0.38814016172506749</v>
      </c>
      <c r="AF428" s="106">
        <f t="shared" si="767"/>
        <v>0.79452054794520555</v>
      </c>
      <c r="AG428" s="106">
        <f t="shared" si="767"/>
        <v>0.54963680387409197</v>
      </c>
      <c r="AH428" s="106">
        <f t="shared" si="767"/>
        <v>0.22095671981776754</v>
      </c>
      <c r="AI428" s="106">
        <f t="shared" si="767"/>
        <v>0.33203883495145625</v>
      </c>
      <c r="AJ428" s="108">
        <f t="shared" si="767"/>
        <v>0.1557251908396946</v>
      </c>
      <c r="AK428" s="108">
        <f t="shared" si="767"/>
        <v>0.21249999999999991</v>
      </c>
      <c r="AL428" s="108">
        <f t="shared" si="768"/>
        <v>0.75932835820895517</v>
      </c>
      <c r="AM428" s="108">
        <f t="shared" si="768"/>
        <v>0.42274052478134116</v>
      </c>
      <c r="AN428" s="108">
        <f t="shared" si="768"/>
        <v>4.3685601056803174</v>
      </c>
      <c r="AO428" s="108">
        <f t="shared" si="768"/>
        <v>3.1546391752577323</v>
      </c>
      <c r="AP428" s="108">
        <f t="shared" si="768"/>
        <v>0.42948038176033942</v>
      </c>
      <c r="AQ428" s="108">
        <f t="shared" si="768"/>
        <v>0.87397540983606548</v>
      </c>
      <c r="AR428" s="108">
        <f t="shared" si="768"/>
        <v>-0.6104822834645669</v>
      </c>
      <c r="AS428" s="108">
        <f t="shared" si="768"/>
        <v>-0.50589330024813894</v>
      </c>
      <c r="AT428" s="108">
        <f t="shared" si="768"/>
        <v>0.32789317507418403</v>
      </c>
      <c r="AU428" s="108">
        <f t="shared" si="768"/>
        <v>-0.12575177692728268</v>
      </c>
      <c r="AV428" s="108">
        <f t="shared" si="769"/>
        <v>2.4636765634870494E-2</v>
      </c>
      <c r="AW428" s="108">
        <f t="shared" si="769"/>
        <v>0.22787193973634645</v>
      </c>
      <c r="AX428" s="108">
        <f t="shared" si="769"/>
        <v>0.64581005586592188</v>
      </c>
      <c r="AY428" s="108">
        <f t="shared" si="769"/>
        <v>1.0669168230143842</v>
      </c>
      <c r="AZ428" s="108">
        <f t="shared" si="769"/>
        <v>0.45499383477188649</v>
      </c>
      <c r="BA428" s="108">
        <f t="shared" si="769"/>
        <v>0.52709611451942751</v>
      </c>
      <c r="BB428" s="108">
        <f t="shared" si="769"/>
        <v>0.14867617107942976</v>
      </c>
      <c r="BC428" s="108">
        <f t="shared" si="769"/>
        <v>-6.656580937972767E-2</v>
      </c>
      <c r="BD428" s="108">
        <f t="shared" si="769"/>
        <v>0.22245762711864403</v>
      </c>
      <c r="BE428" s="108">
        <f t="shared" si="769"/>
        <v>0.39404084365584202</v>
      </c>
      <c r="BF428" s="108">
        <f t="shared" si="769"/>
        <v>-0.38829787234042556</v>
      </c>
      <c r="BG428" s="108">
        <f t="shared" si="769"/>
        <v>-0.25802269043760129</v>
      </c>
      <c r="BH428" s="108">
        <f t="shared" si="769"/>
        <v>0.19757365684575401</v>
      </c>
      <c r="BI428" s="108">
        <f t="shared" si="769"/>
        <v>-0.12151777137367914</v>
      </c>
      <c r="BJ428" s="108">
        <f t="shared" si="769"/>
        <v>-9.9033816425120769E-2</v>
      </c>
      <c r="BK428" s="108"/>
      <c r="BL428" s="108"/>
      <c r="BM428" s="108"/>
      <c r="BN428" s="108"/>
      <c r="BO428" s="108"/>
      <c r="BP428" s="108"/>
      <c r="BQ428" s="108"/>
      <c r="BR428" s="108">
        <f t="shared" ref="BR428:CG428" si="772">+BR422/BQ422-1</f>
        <v>-0.34959349593495936</v>
      </c>
      <c r="BS428" s="108">
        <f t="shared" si="772"/>
        <v>0.125</v>
      </c>
      <c r="BT428" s="108">
        <f t="shared" si="772"/>
        <v>0.34444444444444455</v>
      </c>
      <c r="BU428" s="108">
        <f t="shared" si="772"/>
        <v>1.5950413223140494</v>
      </c>
      <c r="BV428" s="108">
        <f t="shared" si="772"/>
        <v>1.8407643312101909</v>
      </c>
      <c r="BW428" s="108">
        <f t="shared" si="772"/>
        <v>-0.12443946188340804</v>
      </c>
      <c r="BX428" s="108">
        <f t="shared" si="772"/>
        <v>0.24583866837387958</v>
      </c>
      <c r="BY428" s="108">
        <f t="shared" si="772"/>
        <v>0.33093525179856109</v>
      </c>
      <c r="BZ428" s="108">
        <f t="shared" si="772"/>
        <v>0.3374517374517374</v>
      </c>
      <c r="CA428" s="108">
        <f t="shared" si="772"/>
        <v>0.45323325635103928</v>
      </c>
      <c r="CB428" s="108">
        <f t="shared" si="772"/>
        <v>0.37147397695669437</v>
      </c>
      <c r="CC428" s="108">
        <f t="shared" si="772"/>
        <v>2.0315758980301273</v>
      </c>
      <c r="CD428" s="108">
        <f t="shared" si="772"/>
        <v>-0.37267080745341619</v>
      </c>
      <c r="CE428" s="108">
        <f t="shared" si="772"/>
        <v>0.49718202589489713</v>
      </c>
      <c r="CF428" s="108">
        <f t="shared" si="772"/>
        <v>0.20215688269406851</v>
      </c>
      <c r="CG428" s="108">
        <f t="shared" si="772"/>
        <v>-3.4529451591063021E-2</v>
      </c>
      <c r="CH428" s="108"/>
      <c r="CI428" s="108"/>
    </row>
    <row r="429" spans="2:87" x14ac:dyDescent="0.2">
      <c r="B429" s="101" t="s">
        <v>124</v>
      </c>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f t="shared" ref="AJ429:BJ429" si="773">+AJ423/AF423-1</f>
        <v>0.29441624365482233</v>
      </c>
      <c r="AK429" s="106">
        <f t="shared" si="773"/>
        <v>0.39940266087428733</v>
      </c>
      <c r="AL429" s="106">
        <f t="shared" si="773"/>
        <v>0.47099521021820112</v>
      </c>
      <c r="AM429" s="106">
        <f t="shared" si="773"/>
        <v>0.57096532801197308</v>
      </c>
      <c r="AN429" s="106">
        <f t="shared" si="773"/>
        <v>0.94858387799564281</v>
      </c>
      <c r="AO429" s="106">
        <f t="shared" si="773"/>
        <v>0.7370974000776096</v>
      </c>
      <c r="AP429" s="106">
        <f t="shared" si="773"/>
        <v>0.32272069464544129</v>
      </c>
      <c r="AQ429" s="106">
        <f t="shared" si="773"/>
        <v>0.38647189583994912</v>
      </c>
      <c r="AR429" s="106">
        <f t="shared" si="773"/>
        <v>-6.25E-2</v>
      </c>
      <c r="AS429" s="106">
        <f t="shared" si="773"/>
        <v>-6.4782754384005159E-3</v>
      </c>
      <c r="AT429" s="106">
        <f t="shared" si="773"/>
        <v>0.26312910284463897</v>
      </c>
      <c r="AU429" s="106">
        <f t="shared" si="773"/>
        <v>0.15517636280348146</v>
      </c>
      <c r="AV429" s="106">
        <f t="shared" si="773"/>
        <v>0.15229576624925456</v>
      </c>
      <c r="AW429" s="106">
        <f t="shared" si="773"/>
        <v>0.27161326587970769</v>
      </c>
      <c r="AX429" s="106">
        <f t="shared" si="773"/>
        <v>0.38761368557817244</v>
      </c>
      <c r="AY429" s="106">
        <f t="shared" si="773"/>
        <v>0.46108852979081982</v>
      </c>
      <c r="AZ429" s="106">
        <f t="shared" si="773"/>
        <v>0.38470296004967919</v>
      </c>
      <c r="BA429" s="106">
        <f t="shared" si="773"/>
        <v>0.35019008045265676</v>
      </c>
      <c r="BB429" s="106">
        <f t="shared" si="773"/>
        <v>0.27450062421972543</v>
      </c>
      <c r="BC429" s="106">
        <f t="shared" si="773"/>
        <v>0.18265707694395439</v>
      </c>
      <c r="BD429" s="106">
        <f t="shared" si="773"/>
        <v>0.14433066746393597</v>
      </c>
      <c r="BE429" s="106">
        <f t="shared" si="773"/>
        <v>9.1016238868517618E-2</v>
      </c>
      <c r="BF429" s="106">
        <f t="shared" si="773"/>
        <v>-0.13138239255540585</v>
      </c>
      <c r="BG429" s="106">
        <f t="shared" si="773"/>
        <v>-8.0206540447504304E-2</v>
      </c>
      <c r="BH429" s="106">
        <f t="shared" si="773"/>
        <v>4.4872632266492518E-2</v>
      </c>
      <c r="BI429" s="106">
        <f t="shared" si="773"/>
        <v>1.5244268395150584E-2</v>
      </c>
      <c r="BJ429" s="106">
        <f t="shared" si="773"/>
        <v>0.11812799548914565</v>
      </c>
      <c r="BK429" s="106"/>
      <c r="BL429" s="106"/>
      <c r="BM429" s="106"/>
      <c r="BN429" s="106"/>
      <c r="BO429" s="106"/>
      <c r="BP429" s="106"/>
      <c r="BQ429" s="106"/>
      <c r="BR429" s="106">
        <f t="shared" ref="BR429:CG429" si="774">+BR423/BQ423-1</f>
        <v>-0.13983050847457623</v>
      </c>
      <c r="BS429" s="106">
        <f t="shared" si="774"/>
        <v>0.43842364532019706</v>
      </c>
      <c r="BT429" s="106">
        <f t="shared" si="774"/>
        <v>0.53767123287671237</v>
      </c>
      <c r="BU429" s="106">
        <f t="shared" si="774"/>
        <v>1.4365256124721602</v>
      </c>
      <c r="BV429" s="106">
        <f t="shared" si="774"/>
        <v>1.913162705667276</v>
      </c>
      <c r="BW429" s="106">
        <f t="shared" si="774"/>
        <v>1.5688735487919825E-3</v>
      </c>
      <c r="BX429" s="106">
        <f t="shared" si="774"/>
        <v>0.66604010025062665</v>
      </c>
      <c r="BY429" s="106">
        <f t="shared" si="774"/>
        <v>0.66152688980819851</v>
      </c>
      <c r="BZ429" s="106">
        <f t="shared" si="774"/>
        <v>0.29266636487098241</v>
      </c>
      <c r="CA429" s="106">
        <f t="shared" si="774"/>
        <v>0.31290492032918937</v>
      </c>
      <c r="CB429" s="106">
        <f t="shared" si="774"/>
        <v>0.43838356895172037</v>
      </c>
      <c r="CC429" s="106">
        <f t="shared" si="774"/>
        <v>0.5735280482151135</v>
      </c>
      <c r="CD429" s="106">
        <f t="shared" si="774"/>
        <v>7.8430217141510328E-2</v>
      </c>
      <c r="CE429" s="106">
        <f t="shared" si="774"/>
        <v>0.32576564762451166</v>
      </c>
      <c r="CF429" s="106">
        <f t="shared" si="774"/>
        <v>0.28619119253199243</v>
      </c>
      <c r="CG429" s="106">
        <f t="shared" si="774"/>
        <v>-3.5728590883601363E-3</v>
      </c>
      <c r="CH429" s="106"/>
      <c r="CI429" s="106"/>
    </row>
    <row r="430" spans="2:87" x14ac:dyDescent="0.2">
      <c r="B430" s="60"/>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6"/>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c r="BQ430" s="106"/>
      <c r="BR430" s="106"/>
      <c r="BS430" s="106"/>
      <c r="BT430" s="106"/>
      <c r="BU430" s="106"/>
      <c r="BV430" s="106"/>
      <c r="BW430" s="106"/>
      <c r="BX430" s="106"/>
      <c r="BY430" s="106"/>
      <c r="BZ430" s="106"/>
      <c r="CA430" s="106"/>
      <c r="CB430" s="106"/>
      <c r="CC430" s="106"/>
      <c r="CD430" s="106"/>
      <c r="CE430" s="106"/>
      <c r="CF430" s="106"/>
      <c r="CG430" s="106"/>
      <c r="CH430" s="106"/>
      <c r="CI430" s="106"/>
    </row>
    <row r="431" spans="2:87" x14ac:dyDescent="0.2">
      <c r="B431" s="62" t="s">
        <v>237</v>
      </c>
    </row>
    <row r="432" spans="2:87" x14ac:dyDescent="0.2">
      <c r="B432" s="60" t="s">
        <v>121</v>
      </c>
      <c r="C432" s="107"/>
      <c r="D432" s="107">
        <f t="shared" ref="D432:AW432" si="775">+D420/D$412</f>
        <v>7.2463768115942032E-2</v>
      </c>
      <c r="E432" s="107">
        <f t="shared" si="775"/>
        <v>7.4245939675174011E-2</v>
      </c>
      <c r="F432" s="107">
        <f t="shared" si="775"/>
        <v>8.7794432548179868E-2</v>
      </c>
      <c r="G432" s="107">
        <f t="shared" si="775"/>
        <v>6.1559507523939808E-2</v>
      </c>
      <c r="H432" s="107">
        <f t="shared" si="775"/>
        <v>7.7975376196990423E-2</v>
      </c>
      <c r="I432" s="107">
        <f t="shared" si="775"/>
        <v>0.1106145251396648</v>
      </c>
      <c r="J432" s="107">
        <f t="shared" si="775"/>
        <v>0.11320754716981132</v>
      </c>
      <c r="K432" s="107">
        <f t="shared" si="775"/>
        <v>0.10963748894783377</v>
      </c>
      <c r="L432" s="107">
        <f t="shared" si="775"/>
        <v>0.14461247637051039</v>
      </c>
      <c r="M432" s="107">
        <f t="shared" si="775"/>
        <v>0.59543918918918914</v>
      </c>
      <c r="N432" s="107">
        <f t="shared" si="775"/>
        <v>0.19334389857369255</v>
      </c>
      <c r="O432" s="107">
        <f t="shared" si="775"/>
        <v>0.18738170347003155</v>
      </c>
      <c r="P432" s="107">
        <f t="shared" si="775"/>
        <v>0.20096021947873799</v>
      </c>
      <c r="Q432" s="107">
        <f t="shared" si="775"/>
        <v>0.18974076116933261</v>
      </c>
      <c r="R432" s="107">
        <f t="shared" si="775"/>
        <v>0.18303571428571427</v>
      </c>
      <c r="S432" s="107">
        <f t="shared" si="775"/>
        <v>0.15783365570599614</v>
      </c>
      <c r="T432" s="107">
        <f t="shared" si="775"/>
        <v>0.18185451638689049</v>
      </c>
      <c r="U432" s="107">
        <f t="shared" si="775"/>
        <v>0.16907216494845362</v>
      </c>
      <c r="V432" s="107">
        <f t="shared" si="775"/>
        <v>0.18982204183577897</v>
      </c>
      <c r="W432" s="107">
        <f t="shared" si="775"/>
        <v>0.28849649441703451</v>
      </c>
      <c r="X432" s="107">
        <f t="shared" si="775"/>
        <v>0.29974597798475866</v>
      </c>
      <c r="Y432" s="107">
        <f t="shared" si="775"/>
        <v>0.28946066303809997</v>
      </c>
      <c r="Z432" s="107">
        <f t="shared" si="775"/>
        <v>0.28238169295712062</v>
      </c>
      <c r="AA432" s="107">
        <f t="shared" si="775"/>
        <v>0.22496147919876733</v>
      </c>
      <c r="AB432" s="107">
        <f t="shared" si="775"/>
        <v>0.24953548866592346</v>
      </c>
      <c r="AC432" s="107">
        <f t="shared" si="775"/>
        <v>0.22855811062771908</v>
      </c>
      <c r="AD432" s="107">
        <f t="shared" si="775"/>
        <v>0.21994009413778348</v>
      </c>
      <c r="AE432" s="107">
        <f t="shared" si="775"/>
        <v>0.17743217164263822</v>
      </c>
      <c r="AF432" s="107">
        <f t="shared" si="775"/>
        <v>0.22833665338645417</v>
      </c>
      <c r="AG432" s="107">
        <f t="shared" si="775"/>
        <v>0.20587919751099668</v>
      </c>
      <c r="AH432" s="107">
        <f t="shared" si="775"/>
        <v>0.19868319132455461</v>
      </c>
      <c r="AI432" s="107">
        <f t="shared" si="775"/>
        <v>0.15024668516805428</v>
      </c>
      <c r="AJ432" s="107">
        <f t="shared" si="775"/>
        <v>0.18702991810128697</v>
      </c>
      <c r="AK432" s="107">
        <f t="shared" si="775"/>
        <v>0.19068853450230519</v>
      </c>
      <c r="AL432" s="107">
        <f t="shared" si="775"/>
        <v>0.19356013695636337</v>
      </c>
      <c r="AM432" s="107">
        <f t="shared" si="775"/>
        <v>0.16879508099798984</v>
      </c>
      <c r="AN432" s="107">
        <f t="shared" si="775"/>
        <v>0.1896929097300524</v>
      </c>
      <c r="AO432" s="107">
        <f t="shared" si="775"/>
        <v>0.19631647518654508</v>
      </c>
      <c r="AP432" s="107">
        <f t="shared" si="775"/>
        <v>0.20099705415816904</v>
      </c>
      <c r="AQ432" s="107">
        <f t="shared" si="775"/>
        <v>0.1839009581633621</v>
      </c>
      <c r="AR432" s="107">
        <f t="shared" si="775"/>
        <v>0.22636297006258105</v>
      </c>
      <c r="AS432" s="107">
        <f t="shared" si="775"/>
        <v>0.23877561941456626</v>
      </c>
      <c r="AT432" s="107">
        <f t="shared" si="775"/>
        <v>0.22184443409408477</v>
      </c>
      <c r="AU432" s="107">
        <f t="shared" si="775"/>
        <v>0.18552294100883443</v>
      </c>
      <c r="AV432" s="107">
        <f t="shared" si="775"/>
        <v>0.19857857934354819</v>
      </c>
      <c r="AW432" s="107">
        <f t="shared" si="775"/>
        <v>0.2096502390205317</v>
      </c>
      <c r="AX432" s="107">
        <f t="shared" ref="AX432:BI432" si="776">+AX420/AX$412</f>
        <v>0.21771802826611514</v>
      </c>
      <c r="AY432" s="107">
        <f t="shared" si="776"/>
        <v>0.20926019423242553</v>
      </c>
      <c r="AZ432" s="107">
        <f t="shared" si="776"/>
        <v>0.27615737422961156</v>
      </c>
      <c r="BA432" s="107">
        <f t="shared" si="776"/>
        <v>0.30150579418499757</v>
      </c>
      <c r="BB432" s="107">
        <f t="shared" si="776"/>
        <v>0.33087969979071952</v>
      </c>
      <c r="BC432" s="107">
        <f t="shared" si="776"/>
        <v>0.30377739779263174</v>
      </c>
      <c r="BD432" s="107">
        <f t="shared" si="776"/>
        <v>0.32749170884971202</v>
      </c>
      <c r="BE432" s="107">
        <f t="shared" si="776"/>
        <v>0.29200912528516515</v>
      </c>
      <c r="BF432" s="107">
        <f t="shared" si="776"/>
        <v>0.27063199203420607</v>
      </c>
      <c r="BG432" s="107">
        <f t="shared" si="776"/>
        <v>0.26219740220887039</v>
      </c>
      <c r="BH432" s="107">
        <f t="shared" si="776"/>
        <v>0.27370731038266355</v>
      </c>
      <c r="BI432" s="107">
        <f t="shared" si="776"/>
        <v>0.26968851577896652</v>
      </c>
      <c r="BJ432" s="107">
        <f t="shared" ref="BJ432" si="777">+BJ420/BJ$412</f>
        <v>0.27537017418512405</v>
      </c>
      <c r="BK432" s="107"/>
      <c r="BL432" s="107"/>
      <c r="BM432" s="107"/>
      <c r="BN432" s="107"/>
      <c r="BO432" s="107"/>
      <c r="BP432" s="107"/>
      <c r="BQ432" s="107">
        <f t="shared" ref="BQ432:CD432" si="778">+BQ420/BQ$412</f>
        <v>0.52941176470588236</v>
      </c>
      <c r="BR432" s="107">
        <f t="shared" si="778"/>
        <v>0.17279411764705882</v>
      </c>
      <c r="BS432" s="107">
        <f t="shared" si="778"/>
        <v>0.11196911196911197</v>
      </c>
      <c r="BT432" s="107">
        <f t="shared" si="778"/>
        <v>7.29483282674772E-2</v>
      </c>
      <c r="BU432" s="107">
        <f t="shared" si="778"/>
        <v>0.10455402856372946</v>
      </c>
      <c r="BV432" s="107">
        <f t="shared" si="778"/>
        <v>0.27490666142660641</v>
      </c>
      <c r="BW432" s="107">
        <f t="shared" si="778"/>
        <v>0.1796239837398374</v>
      </c>
      <c r="BX432" s="107">
        <f t="shared" si="778"/>
        <v>0.21386170383442965</v>
      </c>
      <c r="BY432" s="107">
        <f t="shared" si="778"/>
        <v>0.26870084230490321</v>
      </c>
      <c r="BZ432" s="107">
        <f t="shared" si="778"/>
        <v>0.21416166148057023</v>
      </c>
      <c r="CA432" s="107">
        <f t="shared" si="778"/>
        <v>0.19073623102846038</v>
      </c>
      <c r="CB432" s="107">
        <f t="shared" si="778"/>
        <v>0.18397865253053475</v>
      </c>
      <c r="CC432" s="107">
        <f t="shared" si="778"/>
        <v>0.19237025616362788</v>
      </c>
      <c r="CD432" s="107">
        <f t="shared" si="778"/>
        <v>0.21459646837121651</v>
      </c>
      <c r="CE432" s="107">
        <f t="shared" ref="CE432:CG435" si="779">+CE420/CE$412</f>
        <v>0.20906647219937419</v>
      </c>
      <c r="CF432" s="107">
        <f t="shared" si="779"/>
        <v>0.30304693462768739</v>
      </c>
      <c r="CG432" s="107">
        <f t="shared" si="779"/>
        <v>0.28526845612708579</v>
      </c>
      <c r="CH432" s="107"/>
      <c r="CI432" s="107"/>
    </row>
    <row r="433" spans="2:87" x14ac:dyDescent="0.2">
      <c r="B433" s="60" t="s">
        <v>122</v>
      </c>
      <c r="C433" s="107"/>
      <c r="D433" s="107">
        <f t="shared" ref="D433:AW433" si="780">+D421/D$412</f>
        <v>0.10434782608695652</v>
      </c>
      <c r="E433" s="107">
        <f t="shared" si="780"/>
        <v>0.10208816705336426</v>
      </c>
      <c r="F433" s="107">
        <f t="shared" si="780"/>
        <v>9.6359743040685231E-2</v>
      </c>
      <c r="G433" s="107">
        <f t="shared" si="780"/>
        <v>8.0711354309165526E-2</v>
      </c>
      <c r="H433" s="107">
        <f t="shared" si="780"/>
        <v>8.4815321477428179E-2</v>
      </c>
      <c r="I433" s="107">
        <f t="shared" si="780"/>
        <v>0.10726256983240223</v>
      </c>
      <c r="J433" s="107">
        <f t="shared" si="780"/>
        <v>0.11949685534591195</v>
      </c>
      <c r="K433" s="107">
        <f t="shared" si="780"/>
        <v>0.10610079575596817</v>
      </c>
      <c r="L433" s="107">
        <f t="shared" si="780"/>
        <v>0.13516068052930058</v>
      </c>
      <c r="M433" s="107">
        <f t="shared" si="780"/>
        <v>0.33108108108108109</v>
      </c>
      <c r="N433" s="107">
        <f t="shared" si="780"/>
        <v>0.13312202852614896</v>
      </c>
      <c r="O433" s="107">
        <f t="shared" si="780"/>
        <v>0.12176656151419558</v>
      </c>
      <c r="P433" s="107">
        <f t="shared" si="780"/>
        <v>0.1392318244170096</v>
      </c>
      <c r="Q433" s="107">
        <f t="shared" si="780"/>
        <v>0.14837286265857694</v>
      </c>
      <c r="R433" s="107">
        <f t="shared" si="780"/>
        <v>0.11557539682539683</v>
      </c>
      <c r="S433" s="107">
        <f t="shared" si="780"/>
        <v>0.11295938104448743</v>
      </c>
      <c r="T433" s="107">
        <f t="shared" si="780"/>
        <v>0.12909672262190247</v>
      </c>
      <c r="U433" s="107">
        <f t="shared" si="780"/>
        <v>0.12302405498281786</v>
      </c>
      <c r="V433" s="107">
        <f t="shared" si="780"/>
        <v>0.11676553231345614</v>
      </c>
      <c r="W433" s="107">
        <f t="shared" si="780"/>
        <v>0.16203583484809139</v>
      </c>
      <c r="X433" s="107">
        <f t="shared" si="780"/>
        <v>0.17499294383290998</v>
      </c>
      <c r="Y433" s="107">
        <f t="shared" si="780"/>
        <v>0.15487382483918852</v>
      </c>
      <c r="Z433" s="107">
        <f t="shared" si="780"/>
        <v>0.15685403243723617</v>
      </c>
      <c r="AA433" s="107">
        <f t="shared" si="780"/>
        <v>0.13216914911830166</v>
      </c>
      <c r="AB433" s="107">
        <f t="shared" si="780"/>
        <v>0.15347454477889261</v>
      </c>
      <c r="AC433" s="107">
        <f t="shared" si="780"/>
        <v>0.13999378495960224</v>
      </c>
      <c r="AD433" s="107">
        <f t="shared" si="780"/>
        <v>0.13207816288689203</v>
      </c>
      <c r="AE433" s="107">
        <f t="shared" si="780"/>
        <v>0.12691565444431832</v>
      </c>
      <c r="AF433" s="107">
        <f t="shared" si="780"/>
        <v>0.13159860557768924</v>
      </c>
      <c r="AG433" s="107">
        <f t="shared" si="780"/>
        <v>0.12058791975109967</v>
      </c>
      <c r="AH433" s="107">
        <f t="shared" si="780"/>
        <v>0.11328427575522851</v>
      </c>
      <c r="AI433" s="107">
        <f t="shared" si="780"/>
        <v>0.1059204440333025</v>
      </c>
      <c r="AJ433" s="107">
        <f t="shared" si="780"/>
        <v>0.13329433394618084</v>
      </c>
      <c r="AK433" s="107">
        <f t="shared" si="780"/>
        <v>0.14020104300506386</v>
      </c>
      <c r="AL433" s="107">
        <f t="shared" si="780"/>
        <v>0.14045312158519704</v>
      </c>
      <c r="AM433" s="107">
        <f t="shared" si="780"/>
        <v>0.14585550431595129</v>
      </c>
      <c r="AN433" s="107">
        <f t="shared" si="780"/>
        <v>0.13397890827087616</v>
      </c>
      <c r="AO433" s="107">
        <f t="shared" si="780"/>
        <v>0.14295866398199691</v>
      </c>
      <c r="AP433" s="107">
        <f t="shared" si="780"/>
        <v>0.13686834353047814</v>
      </c>
      <c r="AQ433" s="107">
        <f t="shared" si="780"/>
        <v>0.14353476899724885</v>
      </c>
      <c r="AR433" s="107">
        <f t="shared" si="780"/>
        <v>0.15712916502226984</v>
      </c>
      <c r="AS433" s="107">
        <f t="shared" si="780"/>
        <v>0.15197731042971049</v>
      </c>
      <c r="AT433" s="107">
        <f t="shared" si="780"/>
        <v>0.12496506753609687</v>
      </c>
      <c r="AU433" s="107">
        <f t="shared" si="780"/>
        <v>0.11684240524365916</v>
      </c>
      <c r="AV433" s="107">
        <f t="shared" si="780"/>
        <v>0.10863169156700164</v>
      </c>
      <c r="AW433" s="107">
        <f t="shared" si="780"/>
        <v>0.1120817140695395</v>
      </c>
      <c r="AX433" s="107">
        <f t="shared" ref="AX433:BI433" si="781">+AX421/AX$412</f>
        <v>0.1225094794898311</v>
      </c>
      <c r="AY433" s="107">
        <f t="shared" si="781"/>
        <v>0.13029016067238872</v>
      </c>
      <c r="AZ433" s="107">
        <f t="shared" si="781"/>
        <v>0.11867564855955282</v>
      </c>
      <c r="BA433" s="107">
        <f t="shared" si="781"/>
        <v>0.12473110818125044</v>
      </c>
      <c r="BB433" s="107">
        <f t="shared" si="781"/>
        <v>0.13639315869235766</v>
      </c>
      <c r="BC433" s="107">
        <f t="shared" si="781"/>
        <v>0.142204259288046</v>
      </c>
      <c r="BD433" s="107">
        <f t="shared" si="781"/>
        <v>0.10626636411241054</v>
      </c>
      <c r="BE433" s="107">
        <f t="shared" si="781"/>
        <v>9.8565580174380454E-2</v>
      </c>
      <c r="BF433" s="107">
        <f t="shared" si="781"/>
        <v>8.4255842558425581E-2</v>
      </c>
      <c r="BG433" s="107">
        <f t="shared" si="781"/>
        <v>8.0426815586746775E-2</v>
      </c>
      <c r="BH433" s="107">
        <f t="shared" si="781"/>
        <v>7.0333287614867651E-2</v>
      </c>
      <c r="BI433" s="107">
        <f t="shared" si="781"/>
        <v>6.9642445803793099E-2</v>
      </c>
      <c r="BJ433" s="107">
        <f t="shared" ref="BJ433" si="782">+BJ421/BJ$412</f>
        <v>6.9526226317475182E-2</v>
      </c>
      <c r="BK433" s="107"/>
      <c r="BL433" s="107"/>
      <c r="BM433" s="107"/>
      <c r="BN433" s="107"/>
      <c r="BO433" s="107"/>
      <c r="BP433" s="107"/>
      <c r="BQ433" s="107">
        <f t="shared" ref="BQ433:CD433" si="783">+BQ421/BQ$412</f>
        <v>0.20915032679738563</v>
      </c>
      <c r="BR433" s="107">
        <f t="shared" si="783"/>
        <v>0.27941176470588236</v>
      </c>
      <c r="BS433" s="107">
        <f t="shared" si="783"/>
        <v>0.148005148005148</v>
      </c>
      <c r="BT433" s="107">
        <f t="shared" si="783"/>
        <v>9.3211752786220875E-2</v>
      </c>
      <c r="BU433" s="107">
        <f t="shared" si="783"/>
        <v>0.10563190514686069</v>
      </c>
      <c r="BV433" s="107">
        <f t="shared" si="783"/>
        <v>0.17606602475928473</v>
      </c>
      <c r="BW433" s="107">
        <f t="shared" si="783"/>
        <v>0.12665142276422764</v>
      </c>
      <c r="BX433" s="107">
        <f t="shared" si="783"/>
        <v>0.13468634686346864</v>
      </c>
      <c r="BY433" s="107">
        <f t="shared" si="783"/>
        <v>0.15194957326937023</v>
      </c>
      <c r="BZ433" s="107">
        <f t="shared" si="783"/>
        <v>0.13644257905781895</v>
      </c>
      <c r="CA433" s="107">
        <f t="shared" si="783"/>
        <v>0.1162275846800974</v>
      </c>
      <c r="CB433" s="107">
        <f t="shared" si="783"/>
        <v>0.14049571976073641</v>
      </c>
      <c r="CC433" s="107">
        <f t="shared" si="783"/>
        <v>0.139694753667058</v>
      </c>
      <c r="CD433" s="107">
        <f t="shared" si="783"/>
        <v>0.13482074308447525</v>
      </c>
      <c r="CE433" s="107">
        <f t="shared" si="779"/>
        <v>0.11908012448167965</v>
      </c>
      <c r="CF433" s="107">
        <f t="shared" si="779"/>
        <v>0.13087326021147597</v>
      </c>
      <c r="CG433" s="107">
        <f t="shared" si="779"/>
        <v>9.1185387802907317E-2</v>
      </c>
      <c r="CH433" s="107"/>
      <c r="CI433" s="107"/>
    </row>
    <row r="434" spans="2:87" ht="13.5" x14ac:dyDescent="0.35">
      <c r="B434" s="60" t="s">
        <v>123</v>
      </c>
      <c r="C434" s="107"/>
      <c r="D434" s="107">
        <f t="shared" ref="D434:AW434" si="784">+D422/D$412</f>
        <v>6.3768115942028983E-2</v>
      </c>
      <c r="E434" s="107">
        <f t="shared" si="784"/>
        <v>6.0324825986078884E-2</v>
      </c>
      <c r="F434" s="107">
        <f t="shared" si="784"/>
        <v>7.2805139186295498E-2</v>
      </c>
      <c r="G434" s="107">
        <f t="shared" si="784"/>
        <v>5.4719562243502051E-2</v>
      </c>
      <c r="H434" s="107">
        <f t="shared" si="784"/>
        <v>7.7975376196990423E-2</v>
      </c>
      <c r="I434" s="107">
        <f t="shared" si="784"/>
        <v>9.2737430167597765E-2</v>
      </c>
      <c r="J434" s="107">
        <f t="shared" si="784"/>
        <v>8.5953878406708595E-2</v>
      </c>
      <c r="K434" s="107">
        <f t="shared" si="784"/>
        <v>8.1343943412908931E-2</v>
      </c>
      <c r="L434" s="107">
        <f t="shared" si="784"/>
        <v>9.8298676748582225E-2</v>
      </c>
      <c r="M434" s="107">
        <f t="shared" si="784"/>
        <v>0.39104729729729731</v>
      </c>
      <c r="N434" s="107">
        <f t="shared" si="784"/>
        <v>0.1196513470681458</v>
      </c>
      <c r="O434" s="107">
        <f t="shared" si="784"/>
        <v>0.10977917981072555</v>
      </c>
      <c r="P434" s="107">
        <f t="shared" si="784"/>
        <v>0.12071330589849108</v>
      </c>
      <c r="Q434" s="107">
        <f t="shared" si="784"/>
        <v>9.5421952564809703E-2</v>
      </c>
      <c r="R434" s="107">
        <f t="shared" si="784"/>
        <v>8.4821428571428575E-2</v>
      </c>
      <c r="S434" s="107">
        <f t="shared" si="784"/>
        <v>0.10096711798839458</v>
      </c>
      <c r="T434" s="107">
        <f t="shared" si="784"/>
        <v>7.4740207833733016E-2</v>
      </c>
      <c r="U434" s="107">
        <f t="shared" si="784"/>
        <v>6.7697594501718208E-2</v>
      </c>
      <c r="V434" s="107">
        <f t="shared" si="784"/>
        <v>8.0861692163596621E-2</v>
      </c>
      <c r="W434" s="107">
        <f t="shared" si="784"/>
        <v>8.5692028044663721E-2</v>
      </c>
      <c r="X434" s="107">
        <f t="shared" si="784"/>
        <v>7.7335591306802148E-2</v>
      </c>
      <c r="Y434" s="107">
        <f t="shared" si="784"/>
        <v>7.5457694210786741E-2</v>
      </c>
      <c r="Z434" s="107">
        <f t="shared" si="784"/>
        <v>7.6649633414796706E-2</v>
      </c>
      <c r="AA434" s="107">
        <f t="shared" si="784"/>
        <v>6.3516521143639787E-2</v>
      </c>
      <c r="AB434" s="107">
        <f t="shared" si="784"/>
        <v>6.7818654775176512E-2</v>
      </c>
      <c r="AC434" s="107">
        <f t="shared" si="784"/>
        <v>6.4170292106898688E-2</v>
      </c>
      <c r="AD434" s="107">
        <f t="shared" si="784"/>
        <v>6.2615889316787909E-2</v>
      </c>
      <c r="AE434" s="107">
        <f t="shared" si="784"/>
        <v>5.8462935634010671E-2</v>
      </c>
      <c r="AF434" s="107">
        <f t="shared" si="784"/>
        <v>8.1548804780876491E-2</v>
      </c>
      <c r="AG434" s="107">
        <f t="shared" si="784"/>
        <v>6.8662160712369913E-2</v>
      </c>
      <c r="AH434" s="107">
        <f t="shared" si="784"/>
        <v>5.1897753679318356E-2</v>
      </c>
      <c r="AI434" s="107">
        <f t="shared" si="784"/>
        <v>5.2883132901634287E-2</v>
      </c>
      <c r="AJ434" s="109">
        <f t="shared" si="784"/>
        <v>6.3262577302356682E-2</v>
      </c>
      <c r="AK434" s="109">
        <f t="shared" si="784"/>
        <v>5.865013982314262E-2</v>
      </c>
      <c r="AL434" s="109">
        <f t="shared" si="784"/>
        <v>6.8696729074087567E-2</v>
      </c>
      <c r="AM434" s="109">
        <f t="shared" si="784"/>
        <v>5.7703677426983561E-2</v>
      </c>
      <c r="AN434" s="109">
        <f t="shared" si="784"/>
        <v>0.26954964515487168</v>
      </c>
      <c r="AO434" s="109">
        <f t="shared" si="784"/>
        <v>0.19092739547554186</v>
      </c>
      <c r="AP434" s="109">
        <f t="shared" si="784"/>
        <v>7.6365284387038296E-2</v>
      </c>
      <c r="AQ434" s="109">
        <f t="shared" si="784"/>
        <v>8.675647471776872E-2</v>
      </c>
      <c r="AR434" s="109">
        <f t="shared" si="784"/>
        <v>8.9248463663528219E-2</v>
      </c>
      <c r="AS434" s="109">
        <f t="shared" si="784"/>
        <v>8.5246427998073526E-2</v>
      </c>
      <c r="AT434" s="109">
        <f t="shared" si="784"/>
        <v>8.3372147182114581E-2</v>
      </c>
      <c r="AU434" s="109">
        <f t="shared" si="784"/>
        <v>5.6960672556283842E-2</v>
      </c>
      <c r="AV434" s="109">
        <f t="shared" si="784"/>
        <v>6.1976997439914409E-2</v>
      </c>
      <c r="AW434" s="109">
        <f t="shared" si="784"/>
        <v>6.7269663307769026E-2</v>
      </c>
      <c r="AX434" s="109">
        <f t="shared" ref="AX434:BI434" si="785">+AX422/AX$412</f>
        <v>0.10155118924508789</v>
      </c>
      <c r="AY434" s="109">
        <f t="shared" si="785"/>
        <v>9.8155682931899857E-2</v>
      </c>
      <c r="AZ434" s="109">
        <f t="shared" si="785"/>
        <v>8.4563566002579901E-2</v>
      </c>
      <c r="BA434" s="109">
        <f t="shared" si="785"/>
        <v>0.1036361113038651</v>
      </c>
      <c r="BB434" s="109">
        <f t="shared" si="785"/>
        <v>0.12210435159125352</v>
      </c>
      <c r="BC434" s="109">
        <f t="shared" si="785"/>
        <v>9.5911705269703093E-2</v>
      </c>
      <c r="BD434" s="109">
        <f t="shared" si="785"/>
        <v>0.10071565718275441</v>
      </c>
      <c r="BE434" s="109">
        <f t="shared" si="785"/>
        <v>0.13012906653332917</v>
      </c>
      <c r="BF434" s="109">
        <f t="shared" si="785"/>
        <v>6.062203479177649E-2</v>
      </c>
      <c r="BG434" s="109">
        <f t="shared" si="785"/>
        <v>5.7066640073795215E-2</v>
      </c>
      <c r="BH434" s="109">
        <f t="shared" si="785"/>
        <v>9.4774379371828282E-2</v>
      </c>
      <c r="BI434" s="109">
        <f t="shared" si="785"/>
        <v>9.3624427324614165E-2</v>
      </c>
      <c r="BJ434" s="109">
        <f t="shared" ref="BJ434" si="786">+BJ422/BJ$412</f>
        <v>4.5948409667643943E-2</v>
      </c>
      <c r="BK434" s="109"/>
      <c r="BL434" s="109"/>
      <c r="BM434" s="109"/>
      <c r="BN434" s="109"/>
      <c r="BO434" s="109"/>
      <c r="BP434" s="109"/>
      <c r="BQ434" s="109">
        <f t="shared" ref="BQ434:CD434" si="787">+BQ422/BQ$412</f>
        <v>0.80392156862745101</v>
      </c>
      <c r="BR434" s="109">
        <f t="shared" si="787"/>
        <v>0.29411764705882354</v>
      </c>
      <c r="BS434" s="109">
        <f t="shared" si="787"/>
        <v>0.11583011583011583</v>
      </c>
      <c r="BT434" s="109">
        <f t="shared" si="787"/>
        <v>6.1296859169199594E-2</v>
      </c>
      <c r="BU434" s="109">
        <f t="shared" si="787"/>
        <v>8.461331177580167E-2</v>
      </c>
      <c r="BV434" s="109">
        <f t="shared" si="787"/>
        <v>0.17528001572018079</v>
      </c>
      <c r="BW434" s="109">
        <f t="shared" si="787"/>
        <v>9.921239837398374E-2</v>
      </c>
      <c r="BX434" s="109">
        <f t="shared" si="787"/>
        <v>7.8052302262153053E-2</v>
      </c>
      <c r="BY434" s="109">
        <f t="shared" si="787"/>
        <v>7.2237407262787975E-2</v>
      </c>
      <c r="BZ434" s="109">
        <f t="shared" si="787"/>
        <v>6.2667342065272455E-2</v>
      </c>
      <c r="CA434" s="109">
        <f t="shared" si="787"/>
        <v>6.1914249870858237E-2</v>
      </c>
      <c r="CB434" s="109">
        <f t="shared" si="787"/>
        <v>6.1821698484902751E-2</v>
      </c>
      <c r="CC434" s="109">
        <f t="shared" si="787"/>
        <v>0.14802608314355631</v>
      </c>
      <c r="CD434" s="109">
        <f t="shared" si="787"/>
        <v>7.6367401065537535E-2</v>
      </c>
      <c r="CE434" s="109">
        <f t="shared" si="779"/>
        <v>8.3346759490880107E-2</v>
      </c>
      <c r="CF434" s="109">
        <f t="shared" si="779"/>
        <v>0.10133008601394404</v>
      </c>
      <c r="CG434" s="109">
        <f t="shared" si="779"/>
        <v>8.4565718563983955E-2</v>
      </c>
      <c r="CH434" s="109"/>
      <c r="CI434" s="109"/>
    </row>
    <row r="435" spans="2:87" x14ac:dyDescent="0.2">
      <c r="B435" s="101" t="s">
        <v>124</v>
      </c>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c r="AA435" s="107"/>
      <c r="AB435" s="107"/>
      <c r="AC435" s="107"/>
      <c r="AD435" s="107"/>
      <c r="AE435" s="107"/>
      <c r="AF435" s="107"/>
      <c r="AG435" s="107"/>
      <c r="AH435" s="107"/>
      <c r="AI435" s="107"/>
      <c r="AJ435" s="107">
        <f t="shared" ref="AJ435:AW435" si="788">+AJ423/AJ$412</f>
        <v>0.38358682934982452</v>
      </c>
      <c r="AK435" s="107">
        <f t="shared" si="788"/>
        <v>0.38953971733051168</v>
      </c>
      <c r="AL435" s="107">
        <f t="shared" si="788"/>
        <v>0.40270998761564797</v>
      </c>
      <c r="AM435" s="107">
        <f t="shared" si="788"/>
        <v>0.3723542627409247</v>
      </c>
      <c r="AN435" s="107">
        <f t="shared" si="788"/>
        <v>0.59322146315580027</v>
      </c>
      <c r="AO435" s="107">
        <f t="shared" si="788"/>
        <v>0.53020253464408384</v>
      </c>
      <c r="AP435" s="107">
        <f t="shared" si="788"/>
        <v>0.41423068207568547</v>
      </c>
      <c r="AQ435" s="107">
        <f t="shared" si="788"/>
        <v>0.41419220187837968</v>
      </c>
      <c r="AR435" s="107">
        <f t="shared" si="788"/>
        <v>0.47274059874837909</v>
      </c>
      <c r="AS435" s="107">
        <f t="shared" si="788"/>
        <v>0.47599935784235031</v>
      </c>
      <c r="AT435" s="107">
        <f t="shared" si="788"/>
        <v>0.4301816488122962</v>
      </c>
      <c r="AU435" s="107">
        <f t="shared" si="788"/>
        <v>0.3593260188087774</v>
      </c>
      <c r="AV435" s="107">
        <f t="shared" si="788"/>
        <v>0.36918726835046428</v>
      </c>
      <c r="AW435" s="107">
        <f t="shared" si="788"/>
        <v>0.3890016163978402</v>
      </c>
      <c r="AX435" s="107">
        <f t="shared" ref="AX435:BI435" si="789">+AX423/AX$412</f>
        <v>0.44177869700103412</v>
      </c>
      <c r="AY435" s="107">
        <f t="shared" si="789"/>
        <v>0.43770603783671408</v>
      </c>
      <c r="AZ435" s="107">
        <f t="shared" si="789"/>
        <v>0.47939658879174429</v>
      </c>
      <c r="BA435" s="107">
        <f t="shared" si="789"/>
        <v>0.52987301367011308</v>
      </c>
      <c r="BB435" s="107">
        <f t="shared" si="789"/>
        <v>0.58937721007433064</v>
      </c>
      <c r="BC435" s="107">
        <f t="shared" si="789"/>
        <v>0.54189336235038088</v>
      </c>
      <c r="BD435" s="107">
        <f t="shared" si="789"/>
        <v>0.53447373014487698</v>
      </c>
      <c r="BE435" s="107">
        <f t="shared" si="789"/>
        <v>0.52070377199287476</v>
      </c>
      <c r="BF435" s="107">
        <f t="shared" si="789"/>
        <v>0.41550986938440815</v>
      </c>
      <c r="BG435" s="107">
        <f t="shared" si="789"/>
        <v>0.39969085786941239</v>
      </c>
      <c r="BH435" s="107">
        <f t="shared" si="789"/>
        <v>0.43881497736935948</v>
      </c>
      <c r="BI435" s="107">
        <f t="shared" si="789"/>
        <v>0.43295538890737373</v>
      </c>
      <c r="BJ435" s="107">
        <f t="shared" ref="BJ435" si="790">+BJ423/BJ$412</f>
        <v>0.3908448101702432</v>
      </c>
      <c r="BK435" s="107"/>
      <c r="BL435" s="107"/>
      <c r="BM435" s="107"/>
      <c r="BN435" s="107"/>
      <c r="BO435" s="107"/>
      <c r="BP435" s="107"/>
      <c r="BQ435" s="107">
        <f t="shared" ref="BQ435:CD435" si="791">+BQ423/BQ$412</f>
        <v>1.542483660130719</v>
      </c>
      <c r="BR435" s="107">
        <f t="shared" si="791"/>
        <v>0.74632352941176472</v>
      </c>
      <c r="BS435" s="107">
        <f t="shared" si="791"/>
        <v>0.37580437580437581</v>
      </c>
      <c r="BT435" s="107">
        <f t="shared" si="791"/>
        <v>0.22745694022289767</v>
      </c>
      <c r="BU435" s="107">
        <f t="shared" si="791"/>
        <v>0.2947992454863918</v>
      </c>
      <c r="BV435" s="107">
        <f t="shared" si="791"/>
        <v>0.62625270190607196</v>
      </c>
      <c r="BW435" s="107">
        <f t="shared" si="791"/>
        <v>0.40548780487804881</v>
      </c>
      <c r="BX435" s="107">
        <f t="shared" si="791"/>
        <v>0.42660035296005133</v>
      </c>
      <c r="BY435" s="107">
        <f t="shared" si="791"/>
        <v>0.4928878228370614</v>
      </c>
      <c r="BZ435" s="107">
        <f t="shared" si="791"/>
        <v>0.41327158260366165</v>
      </c>
      <c r="CA435" s="107">
        <f t="shared" si="791"/>
        <v>0.36887806557941605</v>
      </c>
      <c r="CB435" s="107">
        <f t="shared" si="791"/>
        <v>0.38629607077617395</v>
      </c>
      <c r="CC435" s="107">
        <f t="shared" si="791"/>
        <v>0.48009109297424218</v>
      </c>
      <c r="CD435" s="107">
        <f t="shared" si="791"/>
        <v>0.42578461252122934</v>
      </c>
      <c r="CE435" s="107">
        <f t="shared" si="779"/>
        <v>0.41149335617193394</v>
      </c>
      <c r="CF435" s="107">
        <f t="shared" si="779"/>
        <v>0.53525028085310744</v>
      </c>
      <c r="CG435" s="107">
        <f t="shared" si="779"/>
        <v>0.46101956249397708</v>
      </c>
      <c r="CH435" s="107"/>
      <c r="CI435" s="107"/>
    </row>
    <row r="436" spans="2:87" x14ac:dyDescent="0.2">
      <c r="B436" s="101"/>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c r="AA436" s="107"/>
      <c r="AB436" s="107"/>
      <c r="AC436" s="107"/>
      <c r="AD436" s="107"/>
      <c r="AE436" s="107"/>
      <c r="AF436" s="107"/>
      <c r="AG436" s="107"/>
      <c r="AH436" s="107"/>
      <c r="AI436" s="107"/>
      <c r="AJ436" s="107"/>
      <c r="AK436" s="107"/>
      <c r="AL436" s="107"/>
      <c r="AM436" s="107"/>
      <c r="AN436" s="107"/>
      <c r="AO436" s="107"/>
      <c r="AP436" s="107"/>
      <c r="AQ436" s="107"/>
      <c r="AR436" s="107"/>
      <c r="AS436" s="107"/>
      <c r="AT436" s="107"/>
      <c r="AU436" s="107"/>
      <c r="AV436" s="107"/>
      <c r="AW436" s="107"/>
      <c r="AX436" s="107"/>
      <c r="AY436" s="107"/>
      <c r="AZ436" s="107"/>
      <c r="BA436" s="107"/>
      <c r="BB436" s="107"/>
      <c r="BC436" s="107"/>
      <c r="BD436" s="107"/>
      <c r="BE436" s="107"/>
      <c r="BF436" s="107"/>
      <c r="BG436" s="107"/>
      <c r="BH436" s="107"/>
      <c r="BI436" s="107"/>
      <c r="BJ436" s="107"/>
      <c r="BK436" s="107"/>
      <c r="BL436" s="107"/>
      <c r="BM436" s="107"/>
      <c r="BN436" s="107"/>
      <c r="BO436" s="107"/>
      <c r="BP436" s="107"/>
      <c r="BQ436" s="107"/>
      <c r="BR436" s="107"/>
      <c r="BS436" s="107"/>
      <c r="BT436" s="107"/>
      <c r="BU436" s="107"/>
      <c r="BV436" s="107"/>
      <c r="BW436" s="107"/>
      <c r="BX436" s="107"/>
      <c r="BY436" s="107"/>
      <c r="BZ436" s="107"/>
      <c r="CA436" s="107"/>
      <c r="CB436" s="107"/>
      <c r="CC436" s="107"/>
      <c r="CD436" s="107"/>
      <c r="CE436" s="107"/>
      <c r="CF436" s="107"/>
      <c r="CG436" s="107"/>
      <c r="CH436" s="107"/>
      <c r="CI436" s="107"/>
    </row>
    <row r="437" spans="2:87" x14ac:dyDescent="0.2">
      <c r="B437" s="89" t="s">
        <v>19</v>
      </c>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c r="AA437" s="107"/>
      <c r="AB437" s="107"/>
      <c r="AC437" s="107"/>
      <c r="AD437" s="107"/>
      <c r="AE437" s="107"/>
      <c r="AF437" s="107"/>
      <c r="AG437" s="107"/>
      <c r="AH437" s="107"/>
      <c r="AI437" s="107"/>
      <c r="AJ437" s="107"/>
      <c r="AK437" s="107"/>
      <c r="AL437" s="107"/>
      <c r="AM437" s="107"/>
      <c r="AN437" s="107"/>
      <c r="AO437" s="107"/>
      <c r="AP437" s="107"/>
      <c r="AQ437" s="107"/>
      <c r="AR437" s="107"/>
      <c r="AS437" s="107"/>
      <c r="AT437" s="107"/>
      <c r="AU437" s="107"/>
      <c r="AV437" s="107"/>
      <c r="AW437" s="107"/>
      <c r="AX437" s="107"/>
      <c r="AY437" s="107"/>
      <c r="AZ437" s="107"/>
      <c r="BA437" s="107"/>
      <c r="BB437" s="107"/>
      <c r="BC437" s="107"/>
      <c r="BD437" s="107"/>
      <c r="BE437" s="107"/>
      <c r="BF437" s="107"/>
      <c r="BG437" s="107"/>
      <c r="BH437" s="107"/>
      <c r="BI437" s="107"/>
      <c r="BJ437" s="107"/>
      <c r="BK437" s="107"/>
      <c r="BL437" s="107"/>
      <c r="BM437" s="107"/>
      <c r="BN437" s="107"/>
      <c r="BO437" s="107"/>
      <c r="BP437" s="107"/>
      <c r="BQ437" s="107"/>
      <c r="BR437" s="107"/>
      <c r="BS437" s="107"/>
      <c r="BT437" s="107"/>
      <c r="BU437" s="107"/>
      <c r="BV437" s="107"/>
      <c r="BW437" s="107"/>
      <c r="BX437" s="107"/>
      <c r="BY437" s="107"/>
      <c r="BZ437" s="107"/>
      <c r="CA437" s="107"/>
      <c r="CB437" s="107"/>
      <c r="CC437" s="107"/>
      <c r="CD437" s="107"/>
      <c r="CE437" s="107"/>
      <c r="CF437" s="107"/>
      <c r="CG437" s="107"/>
      <c r="CH437" s="107"/>
      <c r="CI437" s="107"/>
    </row>
    <row r="438" spans="2:87" x14ac:dyDescent="0.2">
      <c r="B438" s="101" t="s">
        <v>322</v>
      </c>
      <c r="C438" s="107"/>
      <c r="D438" s="95">
        <f>+D415+D423</f>
        <v>183</v>
      </c>
      <c r="E438" s="95">
        <f t="shared" ref="E438:AY438" si="792">+E415+E423</f>
        <v>213</v>
      </c>
      <c r="F438" s="95">
        <f t="shared" si="792"/>
        <v>251</v>
      </c>
      <c r="G438" s="95">
        <f t="shared" si="792"/>
        <v>294</v>
      </c>
      <c r="H438" s="95">
        <f t="shared" si="792"/>
        <v>343</v>
      </c>
      <c r="I438" s="95">
        <f t="shared" si="792"/>
        <v>488</v>
      </c>
      <c r="J438" s="95">
        <f t="shared" si="792"/>
        <v>540</v>
      </c>
      <c r="K438" s="95">
        <f t="shared" si="792"/>
        <v>583</v>
      </c>
      <c r="L438" s="95">
        <f t="shared" si="792"/>
        <v>677</v>
      </c>
      <c r="M438" s="95">
        <f t="shared" si="792"/>
        <v>1927</v>
      </c>
      <c r="N438" s="95">
        <f t="shared" si="792"/>
        <v>885</v>
      </c>
      <c r="O438" s="95">
        <f t="shared" si="792"/>
        <v>1062</v>
      </c>
      <c r="P438" s="95">
        <f t="shared" si="792"/>
        <v>1085</v>
      </c>
      <c r="Q438" s="95">
        <f t="shared" si="792"/>
        <v>1251</v>
      </c>
      <c r="R438" s="95">
        <f t="shared" si="792"/>
        <v>1280</v>
      </c>
      <c r="S438" s="95">
        <f t="shared" si="792"/>
        <v>1452</v>
      </c>
      <c r="T438" s="95">
        <f t="shared" si="792"/>
        <v>1427</v>
      </c>
      <c r="U438" s="95">
        <f t="shared" si="792"/>
        <v>1520</v>
      </c>
      <c r="V438" s="95">
        <f t="shared" si="792"/>
        <v>1806</v>
      </c>
      <c r="W438" s="95">
        <f t="shared" si="792"/>
        <v>2718</v>
      </c>
      <c r="X438" s="95">
        <f t="shared" si="792"/>
        <v>2610</v>
      </c>
      <c r="Y438" s="95">
        <f t="shared" si="792"/>
        <v>2769</v>
      </c>
      <c r="Z438" s="95">
        <f t="shared" si="792"/>
        <v>3042</v>
      </c>
      <c r="AA438" s="95">
        <f t="shared" si="792"/>
        <v>3281</v>
      </c>
      <c r="AB438" s="95">
        <f t="shared" si="792"/>
        <v>3372</v>
      </c>
      <c r="AC438" s="95">
        <f t="shared" si="792"/>
        <v>3702</v>
      </c>
      <c r="AD438" s="95">
        <f t="shared" si="792"/>
        <v>3894</v>
      </c>
      <c r="AE438" s="95">
        <f t="shared" si="792"/>
        <v>4243</v>
      </c>
      <c r="AF438" s="95">
        <f t="shared" si="792"/>
        <v>4705</v>
      </c>
      <c r="AG438" s="95">
        <f t="shared" si="792"/>
        <v>4920</v>
      </c>
      <c r="AH438" s="95">
        <f t="shared" si="792"/>
        <v>5206</v>
      </c>
      <c r="AI438" s="95">
        <f t="shared" si="792"/>
        <v>5620</v>
      </c>
      <c r="AJ438" s="95">
        <f t="shared" si="792"/>
        <v>6517</v>
      </c>
      <c r="AK438" s="95">
        <f t="shared" si="792"/>
        <v>7368</v>
      </c>
      <c r="AL438" s="95">
        <f t="shared" si="792"/>
        <v>7946</v>
      </c>
      <c r="AM438" s="95">
        <f t="shared" si="792"/>
        <v>9094</v>
      </c>
      <c r="AN438" s="95">
        <f t="shared" si="792"/>
        <v>11760</v>
      </c>
      <c r="AO438" s="95">
        <f t="shared" si="792"/>
        <v>12260</v>
      </c>
      <c r="AP438" s="95">
        <f t="shared" si="792"/>
        <v>10467</v>
      </c>
      <c r="AQ438" s="95">
        <f t="shared" si="792"/>
        <v>12224</v>
      </c>
      <c r="AR438" s="95">
        <f t="shared" si="792"/>
        <v>11844</v>
      </c>
      <c r="AS438" s="95">
        <f t="shared" si="792"/>
        <v>12724</v>
      </c>
      <c r="AT438" s="95">
        <f t="shared" si="792"/>
        <v>13430</v>
      </c>
      <c r="AU438" s="95">
        <f t="shared" si="792"/>
        <v>15297</v>
      </c>
      <c r="AV438" s="95">
        <f t="shared" si="792"/>
        <v>14793</v>
      </c>
      <c r="AW438" s="95">
        <f t="shared" si="792"/>
        <v>16710</v>
      </c>
      <c r="AX438" s="95">
        <f t="shared" si="792"/>
        <v>18587</v>
      </c>
      <c r="AY438" s="95">
        <f t="shared" si="792"/>
        <v>21086</v>
      </c>
      <c r="AZ438" s="95">
        <f t="shared" ref="AZ438:BI438" si="793">+AZ415+AZ423</f>
        <v>19384</v>
      </c>
      <c r="BA438" s="95">
        <f t="shared" si="793"/>
        <v>20464</v>
      </c>
      <c r="BB438" s="95">
        <f t="shared" si="793"/>
        <v>22050</v>
      </c>
      <c r="BC438" s="95">
        <f t="shared" si="793"/>
        <v>25766</v>
      </c>
      <c r="BD438" s="95">
        <f t="shared" si="793"/>
        <v>21418</v>
      </c>
      <c r="BE438" s="95">
        <f t="shared" si="793"/>
        <v>22607</v>
      </c>
      <c r="BF438" s="95">
        <f t="shared" si="793"/>
        <v>20398</v>
      </c>
      <c r="BG438" s="95">
        <f t="shared" si="793"/>
        <v>23727</v>
      </c>
      <c r="BH438" s="95">
        <f t="shared" si="793"/>
        <v>22637</v>
      </c>
      <c r="BI438" s="95">
        <f t="shared" si="793"/>
        <v>24224</v>
      </c>
      <c r="BJ438" s="95">
        <f t="shared" ref="BJ438" si="794">+BJ415+BJ423</f>
        <v>23239</v>
      </c>
      <c r="BK438" s="95"/>
      <c r="BL438" s="95"/>
      <c r="BM438" s="95"/>
      <c r="BN438" s="95"/>
      <c r="BO438" s="95"/>
      <c r="BP438" s="107"/>
      <c r="BQ438" s="95">
        <f t="shared" ref="BQ438:CE438" si="795">+BQ415+BQ423</f>
        <v>277</v>
      </c>
      <c r="BR438" s="95">
        <f t="shared" si="795"/>
        <v>327</v>
      </c>
      <c r="BS438" s="95">
        <f t="shared" si="795"/>
        <v>515</v>
      </c>
      <c r="BT438" s="95">
        <f t="shared" si="795"/>
        <v>942</v>
      </c>
      <c r="BU438" s="95">
        <f t="shared" si="795"/>
        <v>1954</v>
      </c>
      <c r="BV438" s="95">
        <f t="shared" si="795"/>
        <v>4551</v>
      </c>
      <c r="BW438" s="95">
        <f t="shared" si="795"/>
        <v>5068</v>
      </c>
      <c r="BX438" s="95">
        <f t="shared" si="795"/>
        <v>7471</v>
      </c>
      <c r="BY438" s="95">
        <f t="shared" si="795"/>
        <v>11702</v>
      </c>
      <c r="BZ438" s="95">
        <f t="shared" si="795"/>
        <v>15211</v>
      </c>
      <c r="CA438" s="95">
        <f t="shared" si="795"/>
        <v>20451</v>
      </c>
      <c r="CB438" s="95">
        <f t="shared" si="795"/>
        <v>30925</v>
      </c>
      <c r="CC438" s="95">
        <f t="shared" si="795"/>
        <v>46711</v>
      </c>
      <c r="CD438" s="95">
        <f t="shared" si="795"/>
        <v>53295</v>
      </c>
      <c r="CE438" s="95">
        <f t="shared" si="795"/>
        <v>71176</v>
      </c>
      <c r="CF438" s="95">
        <f>+CF415+CF423</f>
        <v>87664</v>
      </c>
      <c r="CG438" s="95">
        <f>+CG415+CG423</f>
        <v>88150</v>
      </c>
      <c r="CH438" s="95"/>
      <c r="CI438" s="95"/>
    </row>
    <row r="439" spans="2:87" x14ac:dyDescent="0.2">
      <c r="B439" s="67" t="s">
        <v>17</v>
      </c>
      <c r="C439" s="107"/>
      <c r="D439" s="107"/>
      <c r="E439" s="107"/>
      <c r="F439" s="107"/>
      <c r="G439" s="107"/>
      <c r="H439" s="106">
        <f>+IFERROR(H438/D438-1,"n/a")</f>
        <v>0.87431693989071047</v>
      </c>
      <c r="I439" s="106">
        <f t="shared" ref="I439:BJ439" si="796">+IFERROR(I438/E438-1,"n/a")</f>
        <v>1.291079812206573</v>
      </c>
      <c r="J439" s="106">
        <f t="shared" si="796"/>
        <v>1.1513944223107568</v>
      </c>
      <c r="K439" s="106">
        <f t="shared" si="796"/>
        <v>0.98299319727891166</v>
      </c>
      <c r="L439" s="106">
        <f t="shared" si="796"/>
        <v>0.97376093294460642</v>
      </c>
      <c r="M439" s="106">
        <f t="shared" si="796"/>
        <v>2.9487704918032787</v>
      </c>
      <c r="N439" s="106">
        <f t="shared" si="796"/>
        <v>0.63888888888888884</v>
      </c>
      <c r="O439" s="106">
        <f t="shared" si="796"/>
        <v>0.82161234991423671</v>
      </c>
      <c r="P439" s="106">
        <f t="shared" si="796"/>
        <v>0.60265878877400292</v>
      </c>
      <c r="Q439" s="106">
        <f t="shared" si="796"/>
        <v>-0.35080435910742092</v>
      </c>
      <c r="R439" s="106">
        <f t="shared" si="796"/>
        <v>0.4463276836158192</v>
      </c>
      <c r="S439" s="106">
        <f t="shared" si="796"/>
        <v>0.36723163841807915</v>
      </c>
      <c r="T439" s="106">
        <f t="shared" si="796"/>
        <v>0.31520737327188941</v>
      </c>
      <c r="U439" s="106">
        <f t="shared" si="796"/>
        <v>0.2150279776179056</v>
      </c>
      <c r="V439" s="106">
        <f t="shared" si="796"/>
        <v>0.41093749999999996</v>
      </c>
      <c r="W439" s="106">
        <f t="shared" si="796"/>
        <v>0.87190082644628109</v>
      </c>
      <c r="X439" s="106">
        <f t="shared" si="796"/>
        <v>0.82901191310441491</v>
      </c>
      <c r="Y439" s="106">
        <f t="shared" si="796"/>
        <v>0.82171052631578956</v>
      </c>
      <c r="Z439" s="106">
        <f t="shared" si="796"/>
        <v>0.68438538205980071</v>
      </c>
      <c r="AA439" s="106">
        <f t="shared" si="796"/>
        <v>0.20713760117733626</v>
      </c>
      <c r="AB439" s="106">
        <f t="shared" si="796"/>
        <v>0.29195402298850581</v>
      </c>
      <c r="AC439" s="106">
        <f t="shared" si="796"/>
        <v>0.33694474539544972</v>
      </c>
      <c r="AD439" s="106">
        <f t="shared" si="796"/>
        <v>0.28007889546351095</v>
      </c>
      <c r="AE439" s="106">
        <f t="shared" si="796"/>
        <v>0.2932032916793661</v>
      </c>
      <c r="AF439" s="106">
        <f t="shared" si="796"/>
        <v>0.3953143534994068</v>
      </c>
      <c r="AG439" s="106">
        <f t="shared" si="796"/>
        <v>0.3290113452188006</v>
      </c>
      <c r="AH439" s="106">
        <f t="shared" si="796"/>
        <v>0.33692860811504888</v>
      </c>
      <c r="AI439" s="106">
        <f t="shared" si="796"/>
        <v>0.32453452745698796</v>
      </c>
      <c r="AJ439" s="106">
        <f t="shared" si="796"/>
        <v>0.38512221041445271</v>
      </c>
      <c r="AK439" s="106">
        <f t="shared" si="796"/>
        <v>0.4975609756097561</v>
      </c>
      <c r="AL439" s="106">
        <f t="shared" si="796"/>
        <v>0.52631578947368429</v>
      </c>
      <c r="AM439" s="106">
        <f t="shared" si="796"/>
        <v>0.61814946619217093</v>
      </c>
      <c r="AN439" s="106">
        <f t="shared" si="796"/>
        <v>0.80451127819548862</v>
      </c>
      <c r="AO439" s="106">
        <f t="shared" si="796"/>
        <v>0.66395222584147673</v>
      </c>
      <c r="AP439" s="106">
        <f t="shared" si="796"/>
        <v>0.31726654920714825</v>
      </c>
      <c r="AQ439" s="106">
        <f t="shared" si="796"/>
        <v>0.34418297778755225</v>
      </c>
      <c r="AR439" s="106">
        <f t="shared" si="796"/>
        <v>7.1428571428571175E-3</v>
      </c>
      <c r="AS439" s="106">
        <f t="shared" si="796"/>
        <v>3.7846655791190953E-2</v>
      </c>
      <c r="AT439" s="106">
        <f t="shared" si="796"/>
        <v>0.2830801566829082</v>
      </c>
      <c r="AU439" s="106">
        <f t="shared" si="796"/>
        <v>0.25139070680628262</v>
      </c>
      <c r="AV439" s="106">
        <f t="shared" si="796"/>
        <v>0.24898682877406286</v>
      </c>
      <c r="AW439" s="106">
        <f t="shared" si="796"/>
        <v>0.31326626846903483</v>
      </c>
      <c r="AX439" s="106">
        <f t="shared" si="796"/>
        <v>0.38399106478034262</v>
      </c>
      <c r="AY439" s="106">
        <f t="shared" si="796"/>
        <v>0.37844021703602015</v>
      </c>
      <c r="AZ439" s="106">
        <f t="shared" si="796"/>
        <v>0.31034948962347064</v>
      </c>
      <c r="BA439" s="106">
        <f t="shared" si="796"/>
        <v>0.22465589467384794</v>
      </c>
      <c r="BB439" s="106">
        <f t="shared" si="796"/>
        <v>0.18631301447248072</v>
      </c>
      <c r="BC439" s="106">
        <f t="shared" si="796"/>
        <v>0.22194821208384719</v>
      </c>
      <c r="BD439" s="106">
        <f t="shared" si="796"/>
        <v>0.10493190260008256</v>
      </c>
      <c r="BE439" s="106">
        <f t="shared" si="796"/>
        <v>0.10472048475371376</v>
      </c>
      <c r="BF439" s="106">
        <f t="shared" si="796"/>
        <v>-7.4920634920634943E-2</v>
      </c>
      <c r="BG439" s="106">
        <f t="shared" si="796"/>
        <v>-7.9135294574245174E-2</v>
      </c>
      <c r="BH439" s="106">
        <f t="shared" si="796"/>
        <v>5.6914744607339696E-2</v>
      </c>
      <c r="BI439" s="106">
        <f t="shared" si="796"/>
        <v>7.1526518335028877E-2</v>
      </c>
      <c r="BJ439" s="106">
        <f t="shared" si="796"/>
        <v>0.13927836062359056</v>
      </c>
      <c r="BK439" s="106"/>
      <c r="BL439" s="106"/>
      <c r="BM439" s="106"/>
      <c r="BN439" s="106"/>
      <c r="BO439" s="106"/>
      <c r="BP439" s="107"/>
      <c r="BQ439" s="107"/>
      <c r="BR439" s="106">
        <f>+IFERROR(BR438/BQ438-1,"n/a")</f>
        <v>0.18050541516245477</v>
      </c>
      <c r="BS439" s="106">
        <f t="shared" ref="BS439:CG439" si="797">+IFERROR(BS438/BR438-1,"n/a")</f>
        <v>0.57492354740061158</v>
      </c>
      <c r="BT439" s="106">
        <f t="shared" si="797"/>
        <v>0.82912621359223304</v>
      </c>
      <c r="BU439" s="106">
        <f t="shared" si="797"/>
        <v>1.0743099787685777</v>
      </c>
      <c r="BV439" s="106">
        <f t="shared" si="797"/>
        <v>1.3290685772773796</v>
      </c>
      <c r="BW439" s="106">
        <f t="shared" si="797"/>
        <v>0.11360140628433313</v>
      </c>
      <c r="BX439" s="106">
        <f t="shared" si="797"/>
        <v>0.47415153906866614</v>
      </c>
      <c r="BY439" s="106">
        <f t="shared" si="797"/>
        <v>0.56632311604872165</v>
      </c>
      <c r="BZ439" s="106">
        <f t="shared" si="797"/>
        <v>0.29986327123568612</v>
      </c>
      <c r="CA439" s="106">
        <f t="shared" si="797"/>
        <v>0.3444875419104596</v>
      </c>
      <c r="CB439" s="106">
        <f t="shared" si="797"/>
        <v>0.5121509950613663</v>
      </c>
      <c r="CC439" s="106">
        <f t="shared" si="797"/>
        <v>0.51046079223928853</v>
      </c>
      <c r="CD439" s="106">
        <f t="shared" si="797"/>
        <v>0.14095181006615154</v>
      </c>
      <c r="CE439" s="106">
        <f t="shared" si="797"/>
        <v>0.33550989773899986</v>
      </c>
      <c r="CF439" s="106">
        <f t="shared" si="797"/>
        <v>0.23165111835450158</v>
      </c>
      <c r="CG439" s="106">
        <f t="shared" si="797"/>
        <v>5.5438948713268932E-3</v>
      </c>
      <c r="CH439" s="106"/>
      <c r="CI439" s="106"/>
    </row>
    <row r="440" spans="2:87" x14ac:dyDescent="0.2">
      <c r="B440" s="67" t="s">
        <v>20</v>
      </c>
      <c r="D440" s="107">
        <f>+IFERROR(D438/D412,"n/a")</f>
        <v>0.5304347826086957</v>
      </c>
      <c r="E440" s="107">
        <f>+IFERROR(E438/E412,"n/a")</f>
        <v>0.49419953596287702</v>
      </c>
      <c r="F440" s="107">
        <f>+IFERROR(F438/F412,"n/a")</f>
        <v>0.53747323340471087</v>
      </c>
      <c r="G440" s="107">
        <f>+IFERROR(G438/G412,"n/a")</f>
        <v>0.4021887824897401</v>
      </c>
      <c r="H440" s="107">
        <f>+IFERROR(H438/H412,"n/a")</f>
        <v>0.4692202462380301</v>
      </c>
      <c r="I440" s="107">
        <f t="shared" ref="I440:AY440" si="798">+IFERROR(I438/I412,"n/a")</f>
        <v>0.54525139664804467</v>
      </c>
      <c r="J440" s="107">
        <f t="shared" si="798"/>
        <v>0.56603773584905659</v>
      </c>
      <c r="K440" s="107">
        <f t="shared" si="798"/>
        <v>0.51547303271441203</v>
      </c>
      <c r="L440" s="107">
        <f t="shared" si="798"/>
        <v>0.63988657844990549</v>
      </c>
      <c r="M440" s="107">
        <f t="shared" si="798"/>
        <v>1.6275337837837838</v>
      </c>
      <c r="N440" s="107">
        <f t="shared" si="798"/>
        <v>0.70126782884310623</v>
      </c>
      <c r="O440" s="107">
        <f t="shared" si="798"/>
        <v>0.67003154574132495</v>
      </c>
      <c r="P440" s="107">
        <f t="shared" si="798"/>
        <v>0.74417009602194784</v>
      </c>
      <c r="Q440" s="107">
        <f t="shared" si="798"/>
        <v>0.6900165471594043</v>
      </c>
      <c r="R440" s="107">
        <f t="shared" si="798"/>
        <v>0.63492063492063489</v>
      </c>
      <c r="S440" s="107">
        <f t="shared" si="798"/>
        <v>0.5617021276595745</v>
      </c>
      <c r="T440" s="107">
        <f t="shared" si="798"/>
        <v>0.57034372501998398</v>
      </c>
      <c r="U440" s="107">
        <f t="shared" si="798"/>
        <v>0.5223367697594502</v>
      </c>
      <c r="V440" s="107">
        <f t="shared" si="798"/>
        <v>0.56384639400561976</v>
      </c>
      <c r="W440" s="107">
        <f t="shared" si="798"/>
        <v>0.7057907037133212</v>
      </c>
      <c r="X440" s="107">
        <f t="shared" si="798"/>
        <v>0.73666384419983066</v>
      </c>
      <c r="Y440" s="107">
        <f t="shared" si="798"/>
        <v>0.68505690252350326</v>
      </c>
      <c r="Z440" s="107">
        <f t="shared" si="798"/>
        <v>0.67584981115307707</v>
      </c>
      <c r="AA440" s="107">
        <f t="shared" si="798"/>
        <v>0.56171888375278201</v>
      </c>
      <c r="AB440" s="107">
        <f t="shared" si="798"/>
        <v>0.62653288740245261</v>
      </c>
      <c r="AC440" s="107">
        <f t="shared" si="798"/>
        <v>0.57520198881292728</v>
      </c>
      <c r="AD440" s="107">
        <f t="shared" si="798"/>
        <v>0.55541292255027819</v>
      </c>
      <c r="AE440" s="107">
        <f t="shared" si="798"/>
        <v>0.4816664774662277</v>
      </c>
      <c r="AF440" s="107">
        <f t="shared" si="798"/>
        <v>0.58578187250996017</v>
      </c>
      <c r="AG440" s="107">
        <f t="shared" si="798"/>
        <v>0.52784036047634375</v>
      </c>
      <c r="AH440" s="107">
        <f t="shared" si="798"/>
        <v>0.50406661502711081</v>
      </c>
      <c r="AI440" s="107">
        <f t="shared" si="798"/>
        <v>0.43324082639531297</v>
      </c>
      <c r="AJ440" s="107">
        <f t="shared" si="798"/>
        <v>0.54462644158448936</v>
      </c>
      <c r="AK440" s="107">
        <f t="shared" si="798"/>
        <v>0.55687400801148812</v>
      </c>
      <c r="AL440" s="107">
        <f t="shared" si="798"/>
        <v>0.57885918263276759</v>
      </c>
      <c r="AM440" s="107">
        <f t="shared" si="798"/>
        <v>0.53766110914035714</v>
      </c>
      <c r="AN440" s="107">
        <f t="shared" si="798"/>
        <v>0.77999602042846716</v>
      </c>
      <c r="AO440" s="107">
        <f t="shared" si="798"/>
        <v>0.72604524458130992</v>
      </c>
      <c r="AP440" s="107">
        <f t="shared" si="798"/>
        <v>0.5929639700883752</v>
      </c>
      <c r="AQ440" s="107">
        <f t="shared" si="798"/>
        <v>0.57983113556588561</v>
      </c>
      <c r="AR440" s="107">
        <f t="shared" si="798"/>
        <v>0.66775666685459778</v>
      </c>
      <c r="AS440" s="107">
        <f t="shared" si="798"/>
        <v>0.68090116123508326</v>
      </c>
      <c r="AT440" s="107">
        <f t="shared" si="798"/>
        <v>0.62552398695854683</v>
      </c>
      <c r="AU440" s="107">
        <f t="shared" si="798"/>
        <v>0.54492020518666284</v>
      </c>
      <c r="AV440" s="107">
        <f t="shared" si="798"/>
        <v>0.56524397233579149</v>
      </c>
      <c r="AW440" s="107">
        <f t="shared" si="798"/>
        <v>0.57468101936238269</v>
      </c>
      <c r="AX440" s="107">
        <f t="shared" si="798"/>
        <v>0.64071009996552908</v>
      </c>
      <c r="AY440" s="107">
        <f t="shared" si="798"/>
        <v>0.62623622702028447</v>
      </c>
      <c r="AZ440" s="107">
        <f t="shared" ref="AZ440:BI440" si="799">+IFERROR(AZ438/AZ412,"n/a")</f>
        <v>0.69456786584491903</v>
      </c>
      <c r="BA440" s="107">
        <f t="shared" si="799"/>
        <v>0.71001318437304839</v>
      </c>
      <c r="BB440" s="107">
        <f t="shared" si="799"/>
        <v>0.79562675903875302</v>
      </c>
      <c r="BC440" s="107">
        <f t="shared" si="799"/>
        <v>0.80105704958806156</v>
      </c>
      <c r="BD440" s="107">
        <f t="shared" si="799"/>
        <v>0.74770466049921447</v>
      </c>
      <c r="BE440" s="107">
        <f t="shared" si="799"/>
        <v>0.70649082783836992</v>
      </c>
      <c r="BF440" s="107">
        <f t="shared" si="799"/>
        <v>0.59737597375973761</v>
      </c>
      <c r="BG440" s="107">
        <f t="shared" si="799"/>
        <v>0.5915334945526165</v>
      </c>
      <c r="BH440" s="107">
        <f t="shared" si="799"/>
        <v>0.62095734467151287</v>
      </c>
      <c r="BI440" s="107">
        <f t="shared" si="799"/>
        <v>0.61999948811138694</v>
      </c>
      <c r="BJ440" s="107">
        <f t="shared" ref="BJ440" si="800">+IFERROR(BJ438/BJ412,"n/a")</f>
        <v>0.57254428539752145</v>
      </c>
      <c r="BK440" s="107"/>
      <c r="BL440" s="107"/>
      <c r="BM440" s="107"/>
      <c r="BN440" s="107"/>
      <c r="BO440" s="107"/>
      <c r="BQ440" s="107">
        <f t="shared" ref="BQ440:CE440" si="801">+IFERROR(BQ438/BQ412,"n/a")</f>
        <v>1.8104575163398693</v>
      </c>
      <c r="BR440" s="107">
        <f t="shared" si="801"/>
        <v>1.2022058823529411</v>
      </c>
      <c r="BS440" s="107">
        <f t="shared" si="801"/>
        <v>0.66280566280566278</v>
      </c>
      <c r="BT440" s="107">
        <f t="shared" si="801"/>
        <v>0.47720364741641336</v>
      </c>
      <c r="BU440" s="107">
        <f t="shared" si="801"/>
        <v>0.52654271085960658</v>
      </c>
      <c r="BV440" s="107">
        <f t="shared" si="801"/>
        <v>0.89428178424051874</v>
      </c>
      <c r="BW440" s="107">
        <f t="shared" si="801"/>
        <v>0.64380081300813008</v>
      </c>
      <c r="BX440" s="107">
        <f t="shared" si="801"/>
        <v>0.59931012353601798</v>
      </c>
      <c r="BY440" s="107">
        <f t="shared" si="801"/>
        <v>0.65275840910358673</v>
      </c>
      <c r="BZ440" s="107">
        <f t="shared" si="801"/>
        <v>0.55036543888848688</v>
      </c>
      <c r="CA440" s="107">
        <f t="shared" si="801"/>
        <v>0.5030625046122057</v>
      </c>
      <c r="CB440" s="107">
        <f t="shared" si="801"/>
        <v>0.55383430638633191</v>
      </c>
      <c r="CC440" s="107">
        <f t="shared" si="801"/>
        <v>0.66072110556317809</v>
      </c>
      <c r="CD440" s="107">
        <f t="shared" si="801"/>
        <v>0.61995440057697226</v>
      </c>
      <c r="CE440" s="107">
        <f t="shared" si="801"/>
        <v>0.60354959339941827</v>
      </c>
      <c r="CF440" s="107">
        <f>+IFERROR(CF438/CF412,"n/a")</f>
        <v>0.75177730706892265</v>
      </c>
      <c r="CG440" s="107">
        <f>+IFERROR(CG438/CG412,"n/a")</f>
        <v>0.65344215387580518</v>
      </c>
      <c r="CH440" s="107"/>
      <c r="CI440" s="107"/>
    </row>
    <row r="441" spans="2:87" x14ac:dyDescent="0.2">
      <c r="B441" s="67"/>
    </row>
    <row r="442" spans="2:87" s="44" customFormat="1" x14ac:dyDescent="0.2">
      <c r="B442" s="44" t="s">
        <v>125</v>
      </c>
      <c r="C442" s="111"/>
      <c r="D442" s="111">
        <f t="shared" ref="D442:AW442" si="802">+D416-D423</f>
        <v>162</v>
      </c>
      <c r="E442" s="111">
        <f t="shared" si="802"/>
        <v>218</v>
      </c>
      <c r="F442" s="111">
        <f t="shared" si="802"/>
        <v>216</v>
      </c>
      <c r="G442" s="111">
        <f t="shared" si="802"/>
        <v>437</v>
      </c>
      <c r="H442" s="111">
        <f t="shared" si="802"/>
        <v>388</v>
      </c>
      <c r="I442" s="111">
        <f t="shared" si="802"/>
        <v>407</v>
      </c>
      <c r="J442" s="111">
        <f t="shared" si="802"/>
        <v>414</v>
      </c>
      <c r="K442" s="111">
        <f t="shared" si="802"/>
        <v>548</v>
      </c>
      <c r="L442" s="111">
        <f t="shared" si="802"/>
        <v>381</v>
      </c>
      <c r="M442" s="111">
        <f t="shared" si="802"/>
        <v>-743</v>
      </c>
      <c r="N442" s="111">
        <f t="shared" si="802"/>
        <v>377</v>
      </c>
      <c r="O442" s="111">
        <f t="shared" si="802"/>
        <v>523</v>
      </c>
      <c r="P442" s="111">
        <f t="shared" si="802"/>
        <v>373</v>
      </c>
      <c r="Q442" s="111">
        <f t="shared" si="802"/>
        <v>562</v>
      </c>
      <c r="R442" s="111">
        <f t="shared" si="802"/>
        <v>736</v>
      </c>
      <c r="S442" s="111">
        <f t="shared" si="802"/>
        <v>1133</v>
      </c>
      <c r="T442" s="111">
        <f t="shared" si="802"/>
        <v>1075</v>
      </c>
      <c r="U442" s="111">
        <f t="shared" si="802"/>
        <v>1390</v>
      </c>
      <c r="V442" s="111">
        <f t="shared" si="802"/>
        <v>1397</v>
      </c>
      <c r="W442" s="111">
        <f t="shared" si="802"/>
        <v>1133</v>
      </c>
      <c r="X442" s="111">
        <f t="shared" si="802"/>
        <v>933</v>
      </c>
      <c r="Y442" s="111">
        <f t="shared" si="802"/>
        <v>1273</v>
      </c>
      <c r="Z442" s="111">
        <f t="shared" si="802"/>
        <v>1459</v>
      </c>
      <c r="AA442" s="111">
        <f t="shared" si="802"/>
        <v>2560</v>
      </c>
      <c r="AB442" s="111">
        <f t="shared" si="802"/>
        <v>2010</v>
      </c>
      <c r="AC442" s="111">
        <f t="shared" si="802"/>
        <v>2734</v>
      </c>
      <c r="AD442" s="111">
        <f t="shared" si="802"/>
        <v>3117</v>
      </c>
      <c r="AE442" s="111">
        <f t="shared" si="802"/>
        <v>4566</v>
      </c>
      <c r="AF442" s="111">
        <f t="shared" si="802"/>
        <v>3327</v>
      </c>
      <c r="AG442" s="111">
        <f t="shared" si="802"/>
        <v>4401</v>
      </c>
      <c r="AH442" s="111">
        <f t="shared" si="802"/>
        <v>5122</v>
      </c>
      <c r="AI442" s="111">
        <f t="shared" si="802"/>
        <v>7352</v>
      </c>
      <c r="AJ442" s="111">
        <f t="shared" si="802"/>
        <v>5449</v>
      </c>
      <c r="AK442" s="111">
        <f t="shared" si="802"/>
        <v>5863</v>
      </c>
      <c r="AL442" s="111">
        <f t="shared" si="802"/>
        <v>5781</v>
      </c>
      <c r="AM442" s="111">
        <f t="shared" si="802"/>
        <v>7820</v>
      </c>
      <c r="AN442" s="111">
        <f t="shared" si="802"/>
        <v>3317</v>
      </c>
      <c r="AO442" s="111">
        <f t="shared" si="802"/>
        <v>4626</v>
      </c>
      <c r="AP442" s="111">
        <f t="shared" si="802"/>
        <v>7185</v>
      </c>
      <c r="AQ442" s="111">
        <f t="shared" si="802"/>
        <v>8858</v>
      </c>
      <c r="AR442" s="111">
        <f t="shared" si="802"/>
        <v>5893</v>
      </c>
      <c r="AS442" s="111">
        <f t="shared" si="802"/>
        <v>5963</v>
      </c>
      <c r="AT442" s="111">
        <f t="shared" si="802"/>
        <v>8040</v>
      </c>
      <c r="AU442" s="111">
        <f t="shared" si="802"/>
        <v>12775</v>
      </c>
      <c r="AV442" s="111">
        <f t="shared" si="802"/>
        <v>11378</v>
      </c>
      <c r="AW442" s="111">
        <f t="shared" si="802"/>
        <v>12367</v>
      </c>
      <c r="AX442" s="111">
        <f t="shared" ref="AX442:BI442" si="803">+AX416-AX423</f>
        <v>10423</v>
      </c>
      <c r="AY442" s="111">
        <f t="shared" si="803"/>
        <v>12585</v>
      </c>
      <c r="AZ442" s="111">
        <f t="shared" si="803"/>
        <v>8524</v>
      </c>
      <c r="BA442" s="111">
        <f t="shared" si="803"/>
        <v>8358</v>
      </c>
      <c r="BB442" s="111">
        <f t="shared" si="803"/>
        <v>5664</v>
      </c>
      <c r="BC442" s="111">
        <f t="shared" si="803"/>
        <v>6399</v>
      </c>
      <c r="BD442" s="111">
        <f t="shared" si="803"/>
        <v>7227</v>
      </c>
      <c r="BE442" s="111">
        <f t="shared" si="803"/>
        <v>9392</v>
      </c>
      <c r="BF442" s="111">
        <f t="shared" si="803"/>
        <v>13748</v>
      </c>
      <c r="BG442" s="111">
        <f t="shared" si="803"/>
        <v>16384</v>
      </c>
      <c r="BH442" s="111">
        <f t="shared" si="803"/>
        <v>13818</v>
      </c>
      <c r="BI442" s="111">
        <f t="shared" si="803"/>
        <v>14847</v>
      </c>
      <c r="BJ442" s="111">
        <f t="shared" ref="BJ442" si="804">+BJ416-BJ423</f>
        <v>17350</v>
      </c>
      <c r="BK442" s="111"/>
      <c r="BL442" s="111"/>
      <c r="BM442" s="111"/>
      <c r="BN442" s="111"/>
      <c r="BO442" s="111"/>
      <c r="BQ442" s="111">
        <f t="shared" ref="BQ442:CB442" si="805">+BQ416-BQ423</f>
        <v>-124</v>
      </c>
      <c r="BR442" s="111">
        <f t="shared" si="805"/>
        <v>-55</v>
      </c>
      <c r="BS442" s="111">
        <f t="shared" si="805"/>
        <v>262</v>
      </c>
      <c r="BT442" s="111">
        <f t="shared" si="805"/>
        <v>1032</v>
      </c>
      <c r="BU442" s="111">
        <f t="shared" si="805"/>
        <v>1757</v>
      </c>
      <c r="BV442" s="111">
        <f t="shared" si="805"/>
        <v>538</v>
      </c>
      <c r="BW442" s="111">
        <f t="shared" si="805"/>
        <v>2804</v>
      </c>
      <c r="BX442" s="111">
        <f t="shared" si="805"/>
        <v>4995</v>
      </c>
      <c r="BY442" s="111">
        <f t="shared" si="805"/>
        <v>6225</v>
      </c>
      <c r="BZ442" s="111">
        <f t="shared" si="805"/>
        <v>12427</v>
      </c>
      <c r="CA442" s="111">
        <f t="shared" si="805"/>
        <v>20202</v>
      </c>
      <c r="CB442" s="111">
        <f t="shared" si="805"/>
        <v>24913</v>
      </c>
      <c r="CC442" s="111">
        <f>+SUM(AN442:AQ442)</f>
        <v>23986</v>
      </c>
      <c r="CD442" s="111">
        <f>+SUM(AR442:AU442)</f>
        <v>32671</v>
      </c>
      <c r="CE442" s="111">
        <f>+SUM(AV442:AY442)</f>
        <v>46753</v>
      </c>
      <c r="CF442" s="111">
        <f>+SUM(AZ442:BC442)</f>
        <v>28945</v>
      </c>
      <c r="CG442" s="111">
        <f>+SUM(BD442:BG442)</f>
        <v>46751</v>
      </c>
      <c r="CH442" s="111"/>
      <c r="CI442" s="111"/>
    </row>
    <row r="443" spans="2:87" s="76" customFormat="1" x14ac:dyDescent="0.2">
      <c r="B443" s="60" t="s">
        <v>17</v>
      </c>
      <c r="C443" s="99"/>
      <c r="D443" s="99"/>
      <c r="E443" s="99"/>
      <c r="F443" s="99"/>
      <c r="G443" s="99"/>
      <c r="H443" s="99"/>
      <c r="I443" s="99"/>
      <c r="J443" s="99"/>
      <c r="K443" s="99"/>
      <c r="L443" s="106">
        <f t="shared" ref="L443:BJ443" si="806">+L442/H442-1</f>
        <v>-1.8041237113402109E-2</v>
      </c>
      <c r="M443" s="106">
        <f t="shared" si="806"/>
        <v>-2.8255528255528253</v>
      </c>
      <c r="N443" s="106">
        <f t="shared" si="806"/>
        <v>-8.9371980676328455E-2</v>
      </c>
      <c r="O443" s="106">
        <f t="shared" si="806"/>
        <v>-4.5620437956204407E-2</v>
      </c>
      <c r="P443" s="106">
        <f t="shared" si="806"/>
        <v>-2.0997375328083989E-2</v>
      </c>
      <c r="Q443" s="106">
        <f t="shared" si="806"/>
        <v>-1.756393001345895</v>
      </c>
      <c r="R443" s="106">
        <f t="shared" si="806"/>
        <v>0.95225464190981435</v>
      </c>
      <c r="S443" s="106">
        <f t="shared" si="806"/>
        <v>1.1663479923518163</v>
      </c>
      <c r="T443" s="106">
        <f t="shared" si="806"/>
        <v>1.8820375335120643</v>
      </c>
      <c r="U443" s="106">
        <f t="shared" si="806"/>
        <v>1.4733096085409252</v>
      </c>
      <c r="V443" s="106">
        <f t="shared" si="806"/>
        <v>0.89809782608695654</v>
      </c>
      <c r="W443" s="106">
        <f t="shared" si="806"/>
        <v>0</v>
      </c>
      <c r="X443" s="106">
        <f t="shared" si="806"/>
        <v>-0.13209302325581396</v>
      </c>
      <c r="Y443" s="106">
        <f t="shared" si="806"/>
        <v>-8.4172661870503651E-2</v>
      </c>
      <c r="Z443" s="106">
        <f t="shared" si="806"/>
        <v>4.4380816034359283E-2</v>
      </c>
      <c r="AA443" s="106">
        <f t="shared" si="806"/>
        <v>1.259488084730803</v>
      </c>
      <c r="AB443" s="106">
        <f t="shared" si="806"/>
        <v>1.1543408360128615</v>
      </c>
      <c r="AC443" s="106">
        <f t="shared" si="806"/>
        <v>1.1476826394344068</v>
      </c>
      <c r="AD443" s="106">
        <f t="shared" si="806"/>
        <v>1.1363947909527075</v>
      </c>
      <c r="AE443" s="106">
        <f t="shared" si="806"/>
        <v>0.78359375000000009</v>
      </c>
      <c r="AF443" s="106">
        <f t="shared" si="806"/>
        <v>0.65522388059701497</v>
      </c>
      <c r="AG443" s="106">
        <f t="shared" si="806"/>
        <v>0.60972933430870513</v>
      </c>
      <c r="AH443" s="106">
        <f t="shared" si="806"/>
        <v>0.64324671158164892</v>
      </c>
      <c r="AI443" s="106">
        <f t="shared" si="806"/>
        <v>0.61016206745510293</v>
      </c>
      <c r="AJ443" s="106">
        <f t="shared" si="806"/>
        <v>0.63781184250075151</v>
      </c>
      <c r="AK443" s="106">
        <f t="shared" si="806"/>
        <v>0.33219722790274941</v>
      </c>
      <c r="AL443" s="106">
        <f t="shared" si="806"/>
        <v>0.1286606794221008</v>
      </c>
      <c r="AM443" s="106">
        <f t="shared" si="806"/>
        <v>6.3656147986942413E-2</v>
      </c>
      <c r="AN443" s="106">
        <f t="shared" si="806"/>
        <v>-0.39126445219306294</v>
      </c>
      <c r="AO443" s="106">
        <f t="shared" si="806"/>
        <v>-0.21098413781340608</v>
      </c>
      <c r="AP443" s="106">
        <f t="shared" si="806"/>
        <v>0.24286455630513748</v>
      </c>
      <c r="AQ443" s="106">
        <f t="shared" si="806"/>
        <v>0.13273657289002561</v>
      </c>
      <c r="AR443" s="106">
        <f t="shared" si="806"/>
        <v>0.77660536629484467</v>
      </c>
      <c r="AS443" s="106">
        <f t="shared" si="806"/>
        <v>0.28901859057501089</v>
      </c>
      <c r="AT443" s="106">
        <f t="shared" si="806"/>
        <v>0.1189979123173277</v>
      </c>
      <c r="AU443" s="106">
        <f t="shared" si="806"/>
        <v>0.44219914201851429</v>
      </c>
      <c r="AV443" s="106">
        <f t="shared" si="806"/>
        <v>0.93076531478024771</v>
      </c>
      <c r="AW443" s="106">
        <f t="shared" si="806"/>
        <v>1.0739560623847058</v>
      </c>
      <c r="AX443" s="106">
        <f t="shared" si="806"/>
        <v>0.29639303482587054</v>
      </c>
      <c r="AY443" s="106">
        <f t="shared" si="806"/>
        <v>-1.4872798434442225E-2</v>
      </c>
      <c r="AZ443" s="106">
        <f t="shared" si="806"/>
        <v>-0.25083494462998768</v>
      </c>
      <c r="BA443" s="106">
        <f t="shared" si="806"/>
        <v>-0.32416915986092021</v>
      </c>
      <c r="BB443" s="106">
        <f t="shared" si="806"/>
        <v>-0.45658639547155333</v>
      </c>
      <c r="BC443" s="106">
        <f t="shared" si="806"/>
        <v>-0.4915375446960667</v>
      </c>
      <c r="BD443" s="106">
        <f t="shared" si="806"/>
        <v>-0.15215861098076022</v>
      </c>
      <c r="BE443" s="106">
        <f t="shared" si="806"/>
        <v>0.12371380713089253</v>
      </c>
      <c r="BF443" s="106">
        <f t="shared" si="806"/>
        <v>1.4272598870056497</v>
      </c>
      <c r="BG443" s="106">
        <f t="shared" si="806"/>
        <v>1.5604000625097671</v>
      </c>
      <c r="BH443" s="106">
        <f t="shared" si="806"/>
        <v>0.91199667911996674</v>
      </c>
      <c r="BI443" s="106">
        <f t="shared" si="806"/>
        <v>0.58081345826235098</v>
      </c>
      <c r="BJ443" s="106">
        <f t="shared" si="806"/>
        <v>0.26200174570846668</v>
      </c>
      <c r="BK443" s="106"/>
      <c r="BL443" s="106"/>
      <c r="BM443" s="106"/>
      <c r="BN443" s="106"/>
      <c r="BO443" s="106"/>
      <c r="BP443" s="99"/>
      <c r="BQ443" s="99"/>
      <c r="BR443" s="106">
        <f t="shared" ref="BR443:CG443" si="807">+BR442/BQ442-1</f>
        <v>-0.55645161290322576</v>
      </c>
      <c r="BS443" s="106">
        <f t="shared" si="807"/>
        <v>-5.7636363636363637</v>
      </c>
      <c r="BT443" s="106">
        <f t="shared" si="807"/>
        <v>2.9389312977099236</v>
      </c>
      <c r="BU443" s="106">
        <f t="shared" si="807"/>
        <v>0.70251937984496116</v>
      </c>
      <c r="BV443" s="106">
        <f t="shared" si="807"/>
        <v>-0.6937962435970404</v>
      </c>
      <c r="BW443" s="106">
        <f t="shared" si="807"/>
        <v>4.2118959107806688</v>
      </c>
      <c r="BX443" s="106">
        <f t="shared" si="807"/>
        <v>0.78138373751783163</v>
      </c>
      <c r="BY443" s="106">
        <f t="shared" si="807"/>
        <v>0.24624624624624625</v>
      </c>
      <c r="BZ443" s="106">
        <f t="shared" si="807"/>
        <v>0.99630522088353413</v>
      </c>
      <c r="CA443" s="106">
        <f t="shared" si="807"/>
        <v>0.62565381829886535</v>
      </c>
      <c r="CB443" s="106">
        <f t="shared" si="807"/>
        <v>0.23319473319473327</v>
      </c>
      <c r="CC443" s="106">
        <f t="shared" si="807"/>
        <v>-3.7209489021795883E-2</v>
      </c>
      <c r="CD443" s="106">
        <f t="shared" si="807"/>
        <v>0.36208621695989329</v>
      </c>
      <c r="CE443" s="106">
        <f t="shared" si="807"/>
        <v>0.43102445593951821</v>
      </c>
      <c r="CF443" s="106">
        <f t="shared" si="807"/>
        <v>-0.38089534361431354</v>
      </c>
      <c r="CG443" s="106">
        <f t="shared" si="807"/>
        <v>0.61516669545690106</v>
      </c>
      <c r="CH443" s="106"/>
      <c r="CI443" s="106"/>
    </row>
    <row r="444" spans="2:87" s="76" customFormat="1" x14ac:dyDescent="0.2">
      <c r="B444" s="60" t="s">
        <v>21</v>
      </c>
      <c r="C444" s="107"/>
      <c r="D444" s="107">
        <f t="shared" ref="D444:AW444" si="808">+D442/D412</f>
        <v>0.46956521739130436</v>
      </c>
      <c r="E444" s="107">
        <f t="shared" si="808"/>
        <v>0.50580046403712298</v>
      </c>
      <c r="F444" s="107">
        <f t="shared" si="808"/>
        <v>0.46252676659528907</v>
      </c>
      <c r="G444" s="107">
        <f t="shared" si="808"/>
        <v>0.5978112175102599</v>
      </c>
      <c r="H444" s="107">
        <f t="shared" si="808"/>
        <v>0.53077975376196995</v>
      </c>
      <c r="I444" s="107">
        <f t="shared" si="808"/>
        <v>0.45474860335195533</v>
      </c>
      <c r="J444" s="107">
        <f t="shared" si="808"/>
        <v>0.43396226415094341</v>
      </c>
      <c r="K444" s="107">
        <f t="shared" si="808"/>
        <v>0.48452696728558797</v>
      </c>
      <c r="L444" s="107">
        <f t="shared" si="808"/>
        <v>0.36011342155009451</v>
      </c>
      <c r="M444" s="107">
        <f t="shared" si="808"/>
        <v>-0.62753378378378377</v>
      </c>
      <c r="N444" s="107">
        <f t="shared" si="808"/>
        <v>0.29873217115689382</v>
      </c>
      <c r="O444" s="107">
        <f t="shared" si="808"/>
        <v>0.3299684542586751</v>
      </c>
      <c r="P444" s="107">
        <f t="shared" si="808"/>
        <v>0.25582990397805211</v>
      </c>
      <c r="Q444" s="107">
        <f t="shared" si="808"/>
        <v>0.3099834528405957</v>
      </c>
      <c r="R444" s="107">
        <f t="shared" si="808"/>
        <v>0.36507936507936506</v>
      </c>
      <c r="S444" s="107">
        <f t="shared" si="808"/>
        <v>0.43829787234042555</v>
      </c>
      <c r="T444" s="107">
        <f t="shared" si="808"/>
        <v>0.42965627498001596</v>
      </c>
      <c r="U444" s="107">
        <f t="shared" si="808"/>
        <v>0.47766323024054985</v>
      </c>
      <c r="V444" s="107">
        <f t="shared" si="808"/>
        <v>0.43615360599438024</v>
      </c>
      <c r="W444" s="107">
        <f t="shared" si="808"/>
        <v>0.2942092962866788</v>
      </c>
      <c r="X444" s="107">
        <f t="shared" si="808"/>
        <v>0.26333615580016934</v>
      </c>
      <c r="Y444" s="107">
        <f t="shared" si="808"/>
        <v>0.31494309747649679</v>
      </c>
      <c r="Z444" s="107">
        <f t="shared" si="808"/>
        <v>0.32415018884692293</v>
      </c>
      <c r="AA444" s="107">
        <f t="shared" si="808"/>
        <v>0.43828111624721794</v>
      </c>
      <c r="AB444" s="107">
        <f t="shared" si="808"/>
        <v>0.37346711259754739</v>
      </c>
      <c r="AC444" s="107">
        <f t="shared" si="808"/>
        <v>0.42479801118707272</v>
      </c>
      <c r="AD444" s="107">
        <f t="shared" si="808"/>
        <v>0.44458707744972187</v>
      </c>
      <c r="AE444" s="107">
        <f t="shared" si="808"/>
        <v>0.5183335225337723</v>
      </c>
      <c r="AF444" s="107">
        <f t="shared" si="808"/>
        <v>0.41421812749003983</v>
      </c>
      <c r="AG444" s="107">
        <f t="shared" si="808"/>
        <v>0.47215963952365625</v>
      </c>
      <c r="AH444" s="107">
        <f t="shared" si="808"/>
        <v>0.49593338497288925</v>
      </c>
      <c r="AI444" s="107">
        <f t="shared" si="808"/>
        <v>0.56675917360468697</v>
      </c>
      <c r="AJ444" s="107">
        <f t="shared" si="808"/>
        <v>0.45537355841551064</v>
      </c>
      <c r="AK444" s="107">
        <f t="shared" si="808"/>
        <v>0.44312599198851182</v>
      </c>
      <c r="AL444" s="107">
        <f t="shared" si="808"/>
        <v>0.42114081736723247</v>
      </c>
      <c r="AM444" s="107">
        <f t="shared" si="808"/>
        <v>0.46233889085964291</v>
      </c>
      <c r="AN444" s="107">
        <f t="shared" si="808"/>
        <v>0.22000397957153281</v>
      </c>
      <c r="AO444" s="107">
        <f t="shared" si="808"/>
        <v>0.27395475541869002</v>
      </c>
      <c r="AP444" s="107">
        <f t="shared" si="808"/>
        <v>0.40703602991162474</v>
      </c>
      <c r="AQ444" s="107">
        <f t="shared" si="808"/>
        <v>0.42016886443411439</v>
      </c>
      <c r="AR444" s="107">
        <f t="shared" si="808"/>
        <v>0.33224333314540228</v>
      </c>
      <c r="AS444" s="107">
        <f t="shared" si="808"/>
        <v>0.31909883876491679</v>
      </c>
      <c r="AT444" s="107">
        <f t="shared" si="808"/>
        <v>0.37447601304145317</v>
      </c>
      <c r="AU444" s="107">
        <f t="shared" si="808"/>
        <v>0.45507979481333716</v>
      </c>
      <c r="AV444" s="107">
        <f t="shared" si="808"/>
        <v>0.43475602766420846</v>
      </c>
      <c r="AW444" s="107">
        <f t="shared" si="808"/>
        <v>0.42531898063761736</v>
      </c>
      <c r="AX444" s="107">
        <f t="shared" ref="AX444:BI444" si="809">+AX442/AX412</f>
        <v>0.35928990003447087</v>
      </c>
      <c r="AY444" s="107">
        <f t="shared" si="809"/>
        <v>0.37376377297971547</v>
      </c>
      <c r="AZ444" s="107">
        <f t="shared" si="809"/>
        <v>0.30543213415508097</v>
      </c>
      <c r="BA444" s="107">
        <f t="shared" si="809"/>
        <v>0.28998681562695161</v>
      </c>
      <c r="BB444" s="107">
        <f t="shared" si="809"/>
        <v>0.20437324096124701</v>
      </c>
      <c r="BC444" s="107">
        <f t="shared" si="809"/>
        <v>0.19894295041193844</v>
      </c>
      <c r="BD444" s="107">
        <f t="shared" si="809"/>
        <v>0.25229533950078548</v>
      </c>
      <c r="BE444" s="107">
        <f t="shared" si="809"/>
        <v>0.29350917216163003</v>
      </c>
      <c r="BF444" s="107">
        <f t="shared" si="809"/>
        <v>0.40262402624026239</v>
      </c>
      <c r="BG444" s="107">
        <f t="shared" si="809"/>
        <v>0.4084665054473835</v>
      </c>
      <c r="BH444" s="107">
        <f t="shared" si="809"/>
        <v>0.37904265532848719</v>
      </c>
      <c r="BI444" s="107">
        <f t="shared" si="809"/>
        <v>0.38000051188861306</v>
      </c>
      <c r="BJ444" s="107">
        <f t="shared" ref="BJ444" si="810">+BJ442/BJ412</f>
        <v>0.4274557146024785</v>
      </c>
      <c r="BK444" s="107"/>
      <c r="BL444" s="107"/>
      <c r="BM444" s="107"/>
      <c r="BN444" s="107"/>
      <c r="BO444" s="107"/>
      <c r="BP444" s="107"/>
      <c r="BQ444" s="107">
        <f t="shared" ref="BQ444:CD444" si="811">+BQ442/BQ412</f>
        <v>-0.81045751633986929</v>
      </c>
      <c r="BR444" s="107">
        <f t="shared" si="811"/>
        <v>-0.20220588235294118</v>
      </c>
      <c r="BS444" s="107">
        <f t="shared" si="811"/>
        <v>0.33719433719433717</v>
      </c>
      <c r="BT444" s="107">
        <f t="shared" si="811"/>
        <v>0.52279635258358659</v>
      </c>
      <c r="BU444" s="107">
        <f t="shared" si="811"/>
        <v>0.47345728914039342</v>
      </c>
      <c r="BV444" s="107">
        <f t="shared" si="811"/>
        <v>0.10571821575948123</v>
      </c>
      <c r="BW444" s="107">
        <f t="shared" si="811"/>
        <v>0.35619918699186992</v>
      </c>
      <c r="BX444" s="107">
        <f t="shared" si="811"/>
        <v>0.40068987646398202</v>
      </c>
      <c r="BY444" s="107">
        <f t="shared" si="811"/>
        <v>0.34724159089641321</v>
      </c>
      <c r="BZ444" s="107">
        <f t="shared" si="811"/>
        <v>0.44963456111151312</v>
      </c>
      <c r="CA444" s="107">
        <f t="shared" si="811"/>
        <v>0.49693749538779425</v>
      </c>
      <c r="CB444" s="107">
        <f t="shared" si="811"/>
        <v>0.44616569361366809</v>
      </c>
      <c r="CC444" s="107">
        <f t="shared" si="811"/>
        <v>0.33927889443682191</v>
      </c>
      <c r="CD444" s="107">
        <f t="shared" si="811"/>
        <v>0.38004559942302774</v>
      </c>
      <c r="CE444" s="107">
        <f>+CE442/CE412</f>
        <v>0.39645040660058173</v>
      </c>
      <c r="CF444" s="107">
        <f>+CF442/CF412</f>
        <v>0.24822269293107735</v>
      </c>
      <c r="CG444" s="107">
        <f>+CG442/CG412</f>
        <v>0.34655784612419477</v>
      </c>
      <c r="CH444" s="107"/>
      <c r="CI444" s="107"/>
    </row>
    <row r="446" spans="2:87" x14ac:dyDescent="0.2">
      <c r="B446" t="s">
        <v>126</v>
      </c>
      <c r="H446" s="81">
        <v>-7</v>
      </c>
      <c r="I446" s="81">
        <v>-9</v>
      </c>
      <c r="J446" s="81">
        <v>-10</v>
      </c>
      <c r="K446" s="81">
        <v>-16</v>
      </c>
      <c r="L446" s="81">
        <v>-13</v>
      </c>
      <c r="M446" s="81">
        <v>-10</v>
      </c>
      <c r="N446" s="81">
        <v>-11</v>
      </c>
      <c r="O446" s="81">
        <v>-16</v>
      </c>
      <c r="P446" s="83" t="s">
        <v>127</v>
      </c>
      <c r="Q446" s="83" t="s">
        <v>127</v>
      </c>
      <c r="R446" s="83" t="s">
        <v>127</v>
      </c>
      <c r="S446" s="83" t="s">
        <v>127</v>
      </c>
      <c r="T446" s="83" t="s">
        <v>127</v>
      </c>
      <c r="U446" s="83" t="s">
        <v>127</v>
      </c>
      <c r="V446" s="83" t="s">
        <v>127</v>
      </c>
      <c r="W446" s="83" t="s">
        <v>127</v>
      </c>
      <c r="X446" s="83" t="s">
        <v>127</v>
      </c>
      <c r="Y446" s="83" t="s">
        <v>127</v>
      </c>
      <c r="Z446" s="83" t="s">
        <v>127</v>
      </c>
      <c r="AA446" s="83" t="s">
        <v>127</v>
      </c>
      <c r="AB446" s="83" t="s">
        <v>127</v>
      </c>
      <c r="AC446" s="83" t="s">
        <v>127</v>
      </c>
      <c r="AD446" s="83" t="s">
        <v>127</v>
      </c>
      <c r="AE446" s="83" t="s">
        <v>127</v>
      </c>
      <c r="AF446" s="83" t="s">
        <v>127</v>
      </c>
      <c r="AG446" s="83" t="s">
        <v>127</v>
      </c>
      <c r="AH446" s="83" t="s">
        <v>127</v>
      </c>
      <c r="AI446" s="83" t="s">
        <v>127</v>
      </c>
      <c r="AJ446" s="83" t="s">
        <v>127</v>
      </c>
      <c r="AK446" s="83" t="s">
        <v>127</v>
      </c>
      <c r="AL446" s="83" t="s">
        <v>127</v>
      </c>
      <c r="AM446" s="83" t="s">
        <v>127</v>
      </c>
      <c r="AN446" s="83" t="s">
        <v>127</v>
      </c>
      <c r="AO446" s="83" t="s">
        <v>127</v>
      </c>
      <c r="AP446" s="83" t="s">
        <v>127</v>
      </c>
      <c r="AQ446" s="83" t="s">
        <v>127</v>
      </c>
      <c r="AR446" s="83" t="s">
        <v>127</v>
      </c>
      <c r="AS446" s="83" t="s">
        <v>127</v>
      </c>
      <c r="AT446" s="83" t="s">
        <v>127</v>
      </c>
      <c r="AU446" s="83" t="s">
        <v>127</v>
      </c>
      <c r="AV446" s="83" t="s">
        <v>127</v>
      </c>
      <c r="AW446" s="83" t="s">
        <v>127</v>
      </c>
      <c r="AX446" s="83" t="s">
        <v>127</v>
      </c>
      <c r="AY446" s="83" t="s">
        <v>127</v>
      </c>
      <c r="AZ446" s="83" t="s">
        <v>127</v>
      </c>
      <c r="BA446" s="83" t="s">
        <v>127</v>
      </c>
      <c r="BB446" s="83" t="s">
        <v>127</v>
      </c>
      <c r="BC446" s="83" t="s">
        <v>127</v>
      </c>
      <c r="BD446" s="83" t="s">
        <v>127</v>
      </c>
      <c r="BE446" s="83" t="s">
        <v>127</v>
      </c>
      <c r="BF446" s="83" t="s">
        <v>127</v>
      </c>
      <c r="BG446" s="83" t="s">
        <v>127</v>
      </c>
      <c r="BH446" s="83" t="s">
        <v>127</v>
      </c>
      <c r="BI446" s="83" t="s">
        <v>127</v>
      </c>
      <c r="BJ446" s="83" t="s">
        <v>127</v>
      </c>
      <c r="BK446" s="83"/>
      <c r="BL446" s="83"/>
      <c r="BM446" s="83"/>
      <c r="BN446" s="83"/>
      <c r="BO446" s="83"/>
      <c r="BQ446" s="83" t="s">
        <v>127</v>
      </c>
      <c r="BR446" s="83" t="s">
        <v>127</v>
      </c>
      <c r="BS446" s="83" t="s">
        <v>127</v>
      </c>
      <c r="BT446" s="83" t="s">
        <v>127</v>
      </c>
      <c r="BU446" s="64">
        <f>+SUM(H446:K446)</f>
        <v>-42</v>
      </c>
      <c r="BV446" s="64">
        <f>+SUM(L446:O446)</f>
        <v>-50</v>
      </c>
      <c r="BW446" s="84" t="s">
        <v>127</v>
      </c>
      <c r="BX446" s="84" t="s">
        <v>127</v>
      </c>
      <c r="BY446" s="84" t="s">
        <v>127</v>
      </c>
      <c r="BZ446" s="84" t="s">
        <v>127</v>
      </c>
      <c r="CA446" s="84" t="s">
        <v>127</v>
      </c>
      <c r="CB446" s="84" t="s">
        <v>127</v>
      </c>
      <c r="CC446" s="84" t="s">
        <v>127</v>
      </c>
      <c r="CD446" s="84" t="s">
        <v>127</v>
      </c>
      <c r="CE446" s="84" t="s">
        <v>127</v>
      </c>
      <c r="CF446" s="84" t="s">
        <v>127</v>
      </c>
      <c r="CG446" s="84" t="s">
        <v>127</v>
      </c>
      <c r="CH446" s="84"/>
      <c r="CI446" s="84"/>
    </row>
    <row r="447" spans="2:87" x14ac:dyDescent="0.2">
      <c r="B447" t="s">
        <v>128</v>
      </c>
      <c r="H447" s="81">
        <v>17</v>
      </c>
      <c r="I447" s="81">
        <v>1</v>
      </c>
      <c r="J447" s="81">
        <v>-25</v>
      </c>
      <c r="K447" s="81">
        <v>-12</v>
      </c>
      <c r="L447" s="81">
        <v>14</v>
      </c>
      <c r="M447" s="81">
        <v>-12</v>
      </c>
      <c r="N447" s="81">
        <v>6</v>
      </c>
      <c r="O447" s="81">
        <v>-2</v>
      </c>
      <c r="P447" s="83" t="s">
        <v>127</v>
      </c>
      <c r="Q447" s="83" t="s">
        <v>127</v>
      </c>
      <c r="R447" s="83" t="s">
        <v>127</v>
      </c>
      <c r="S447" s="83" t="s">
        <v>127</v>
      </c>
      <c r="T447" s="83" t="s">
        <v>127</v>
      </c>
      <c r="U447" s="83" t="s">
        <v>127</v>
      </c>
      <c r="V447" s="83" t="s">
        <v>127</v>
      </c>
      <c r="W447" s="83" t="s">
        <v>127</v>
      </c>
      <c r="X447" s="83" t="s">
        <v>127</v>
      </c>
      <c r="Y447" s="83" t="s">
        <v>127</v>
      </c>
      <c r="Z447" s="83" t="s">
        <v>127</v>
      </c>
      <c r="AA447" s="83" t="s">
        <v>127</v>
      </c>
      <c r="AB447" s="83" t="s">
        <v>127</v>
      </c>
      <c r="AC447" s="83" t="s">
        <v>127</v>
      </c>
      <c r="AD447" s="83" t="s">
        <v>127</v>
      </c>
      <c r="AE447" s="83" t="s">
        <v>127</v>
      </c>
      <c r="AF447" s="83" t="s">
        <v>127</v>
      </c>
      <c r="AG447" s="83" t="s">
        <v>127</v>
      </c>
      <c r="AH447" s="83" t="s">
        <v>127</v>
      </c>
      <c r="AI447" s="83" t="s">
        <v>127</v>
      </c>
      <c r="AJ447" s="83" t="s">
        <v>127</v>
      </c>
      <c r="AK447" s="83" t="s">
        <v>127</v>
      </c>
      <c r="AL447" s="83" t="s">
        <v>127</v>
      </c>
      <c r="AM447" s="83" t="s">
        <v>127</v>
      </c>
      <c r="AN447" s="83" t="s">
        <v>127</v>
      </c>
      <c r="AO447" s="83" t="s">
        <v>127</v>
      </c>
      <c r="AP447" s="83" t="s">
        <v>127</v>
      </c>
      <c r="AQ447" s="83" t="s">
        <v>127</v>
      </c>
      <c r="AR447" s="83" t="s">
        <v>127</v>
      </c>
      <c r="AS447" s="83" t="s">
        <v>127</v>
      </c>
      <c r="AT447" s="83" t="s">
        <v>127</v>
      </c>
      <c r="AU447" s="83" t="s">
        <v>127</v>
      </c>
      <c r="AV447" s="83" t="s">
        <v>127</v>
      </c>
      <c r="AW447" s="83" t="s">
        <v>127</v>
      </c>
      <c r="AX447" s="83" t="s">
        <v>127</v>
      </c>
      <c r="AY447" s="83" t="s">
        <v>127</v>
      </c>
      <c r="AZ447" s="83" t="s">
        <v>127</v>
      </c>
      <c r="BA447" s="83" t="s">
        <v>127</v>
      </c>
      <c r="BB447" s="83" t="s">
        <v>127</v>
      </c>
      <c r="BC447" s="83" t="s">
        <v>127</v>
      </c>
      <c r="BD447" s="83" t="s">
        <v>127</v>
      </c>
      <c r="BE447" s="83" t="s">
        <v>127</v>
      </c>
      <c r="BF447" s="83" t="s">
        <v>127</v>
      </c>
      <c r="BG447" s="83" t="s">
        <v>127</v>
      </c>
      <c r="BH447" s="83" t="s">
        <v>127</v>
      </c>
      <c r="BI447" s="83" t="s">
        <v>127</v>
      </c>
      <c r="BJ447" s="83" t="s">
        <v>127</v>
      </c>
      <c r="BK447" s="83"/>
      <c r="BL447" s="83"/>
      <c r="BM447" s="83"/>
      <c r="BN447" s="83"/>
      <c r="BO447" s="83"/>
      <c r="BQ447" s="83" t="s">
        <v>127</v>
      </c>
      <c r="BR447" s="83" t="s">
        <v>127</v>
      </c>
      <c r="BS447" s="83" t="s">
        <v>127</v>
      </c>
      <c r="BT447" s="83" t="s">
        <v>127</v>
      </c>
      <c r="BU447" s="64">
        <f>+SUM(H447:K447)</f>
        <v>-19</v>
      </c>
      <c r="BV447" s="64">
        <f>+SUM(L447:O447)</f>
        <v>6</v>
      </c>
      <c r="BW447" s="84" t="s">
        <v>127</v>
      </c>
      <c r="BX447" s="84" t="s">
        <v>127</v>
      </c>
      <c r="BY447" s="84" t="s">
        <v>127</v>
      </c>
      <c r="BZ447" s="84" t="s">
        <v>127</v>
      </c>
      <c r="CA447" s="84" t="s">
        <v>127</v>
      </c>
      <c r="CB447" s="84" t="s">
        <v>127</v>
      </c>
      <c r="CC447" s="84" t="s">
        <v>127</v>
      </c>
      <c r="CD447" s="84" t="s">
        <v>127</v>
      </c>
      <c r="CE447" s="84" t="s">
        <v>127</v>
      </c>
      <c r="CF447" s="84" t="s">
        <v>127</v>
      </c>
      <c r="CG447" s="84" t="s">
        <v>127</v>
      </c>
      <c r="CH447" s="84"/>
      <c r="CI447" s="84"/>
    </row>
    <row r="448" spans="2:87" x14ac:dyDescent="0.2">
      <c r="B448" t="s">
        <v>129</v>
      </c>
      <c r="H448" s="83" t="s">
        <v>127</v>
      </c>
      <c r="I448" s="83" t="s">
        <v>127</v>
      </c>
      <c r="J448" s="83" t="s">
        <v>127</v>
      </c>
      <c r="K448" s="83" t="s">
        <v>127</v>
      </c>
      <c r="L448" s="83" t="s">
        <v>127</v>
      </c>
      <c r="M448" s="83" t="s">
        <v>127</v>
      </c>
      <c r="N448" s="83" t="s">
        <v>127</v>
      </c>
      <c r="O448" s="83" t="s">
        <v>127</v>
      </c>
      <c r="P448" s="81">
        <v>-10</v>
      </c>
      <c r="Q448" s="81">
        <v>-9</v>
      </c>
      <c r="R448" s="81">
        <v>-16</v>
      </c>
      <c r="S448" s="81">
        <v>-2</v>
      </c>
      <c r="T448" s="81">
        <v>0</v>
      </c>
      <c r="U448" s="81">
        <v>0</v>
      </c>
      <c r="V448" s="81">
        <v>4</v>
      </c>
      <c r="W448" s="81">
        <v>0</v>
      </c>
      <c r="X448" s="81">
        <v>2</v>
      </c>
      <c r="Y448" s="81">
        <v>5</v>
      </c>
      <c r="Z448" s="81">
        <v>7</v>
      </c>
      <c r="AA448" s="81">
        <v>14</v>
      </c>
      <c r="AB448" s="81">
        <v>27</v>
      </c>
      <c r="AC448" s="81">
        <v>32</v>
      </c>
      <c r="AD448" s="81">
        <v>50</v>
      </c>
      <c r="AE448" s="81">
        <v>56</v>
      </c>
      <c r="AF448" s="81">
        <v>67</v>
      </c>
      <c r="AG448" s="81">
        <v>91</v>
      </c>
      <c r="AH448" s="81">
        <v>108</v>
      </c>
      <c r="AI448" s="81">
        <v>126</v>
      </c>
      <c r="AJ448" s="81">
        <v>161</v>
      </c>
      <c r="AK448" s="81">
        <v>5</v>
      </c>
      <c r="AL448" s="81">
        <v>131</v>
      </c>
      <c r="AM448" s="81">
        <v>151</v>
      </c>
      <c r="AN448" s="81">
        <v>165</v>
      </c>
      <c r="AO448" s="81">
        <v>206</v>
      </c>
      <c r="AP448" s="81">
        <v>144</v>
      </c>
      <c r="AQ448" s="81">
        <v>311</v>
      </c>
      <c r="AR448" s="81">
        <v>-32</v>
      </c>
      <c r="AS448" s="81">
        <v>168</v>
      </c>
      <c r="AT448" s="81">
        <v>93</v>
      </c>
      <c r="AU448" s="81">
        <v>280</v>
      </c>
      <c r="AV448" s="81">
        <v>125</v>
      </c>
      <c r="AW448" s="81">
        <v>146</v>
      </c>
      <c r="AX448" s="81">
        <v>146</v>
      </c>
      <c r="AY448" s="81">
        <v>117</v>
      </c>
      <c r="AZ448" s="81">
        <v>384</v>
      </c>
      <c r="BA448" s="81">
        <v>-172</v>
      </c>
      <c r="BB448" s="81">
        <v>-88</v>
      </c>
      <c r="BC448" s="81">
        <v>-250</v>
      </c>
      <c r="BD448" s="81">
        <v>80</v>
      </c>
      <c r="BE448" s="81">
        <v>-99</v>
      </c>
      <c r="BF448" s="81">
        <v>272</v>
      </c>
      <c r="BG448" s="81">
        <v>424</v>
      </c>
      <c r="BH448" s="81">
        <v>365</v>
      </c>
      <c r="BI448" s="81">
        <v>259</v>
      </c>
      <c r="BJ448" s="81">
        <v>472</v>
      </c>
      <c r="BK448" s="81"/>
      <c r="BL448" s="81"/>
      <c r="BM448" s="81"/>
      <c r="BN448" s="81"/>
      <c r="BO448" s="81"/>
      <c r="BQ448" s="83" t="s">
        <v>127</v>
      </c>
      <c r="BR448" s="83" t="s">
        <v>127</v>
      </c>
      <c r="BS448" s="83" t="s">
        <v>127</v>
      </c>
      <c r="BT448" s="83" t="s">
        <v>127</v>
      </c>
      <c r="BU448" s="84" t="s">
        <v>127</v>
      </c>
      <c r="BV448" s="84" t="s">
        <v>127</v>
      </c>
      <c r="BW448" s="64">
        <f>+SUM(P448:S448)</f>
        <v>-37</v>
      </c>
      <c r="BX448" s="64">
        <f>+SUM(T448:W448)</f>
        <v>4</v>
      </c>
      <c r="BY448" s="64">
        <f>+SUM(X448:AA448)</f>
        <v>28</v>
      </c>
      <c r="BZ448" s="64">
        <f>+SUM(AB448:AE448)</f>
        <v>165</v>
      </c>
      <c r="CA448" s="64">
        <f>+SUM(AF448:AI448)</f>
        <v>392</v>
      </c>
      <c r="CB448" s="64">
        <f>+SUM(AJ448:AM448)</f>
        <v>448</v>
      </c>
      <c r="CC448" s="64">
        <f t="shared" ref="CC448:CC454" si="812">+SUM(AN448:AQ448)</f>
        <v>826</v>
      </c>
      <c r="CD448" s="64">
        <f t="shared" ref="CD448:CD454" si="813">+SUM(AR448:AU448)</f>
        <v>509</v>
      </c>
      <c r="CE448" s="64">
        <f>+SUM(AV448:AY448)</f>
        <v>534</v>
      </c>
      <c r="CF448" s="64">
        <f>+SUM(AZ448:BC448)</f>
        <v>-126</v>
      </c>
      <c r="CG448" s="64">
        <f>+SUM(BD448:BG448)</f>
        <v>677</v>
      </c>
      <c r="CH448" s="64"/>
      <c r="CI448" s="64"/>
    </row>
    <row r="449" spans="2:89" ht="13.5" x14ac:dyDescent="0.35">
      <c r="B449" t="s">
        <v>130</v>
      </c>
      <c r="H449" s="85" t="s">
        <v>127</v>
      </c>
      <c r="I449" s="85" t="s">
        <v>127</v>
      </c>
      <c r="J449" s="85" t="s">
        <v>127</v>
      </c>
      <c r="K449" s="85" t="s">
        <v>127</v>
      </c>
      <c r="L449" s="85" t="s">
        <v>127</v>
      </c>
      <c r="M449" s="85" t="s">
        <v>127</v>
      </c>
      <c r="N449" s="85" t="s">
        <v>127</v>
      </c>
      <c r="O449" s="85" t="s">
        <v>127</v>
      </c>
      <c r="P449" s="82">
        <v>-10</v>
      </c>
      <c r="Q449" s="82">
        <v>-8</v>
      </c>
      <c r="R449" s="82">
        <v>6</v>
      </c>
      <c r="S449" s="82">
        <v>5</v>
      </c>
      <c r="T449" s="82">
        <v>0</v>
      </c>
      <c r="U449" s="82">
        <v>-4</v>
      </c>
      <c r="V449" s="82">
        <v>-65</v>
      </c>
      <c r="W449" s="82">
        <v>-19</v>
      </c>
      <c r="X449" s="82">
        <v>-3</v>
      </c>
      <c r="Y449" s="82">
        <v>-5</v>
      </c>
      <c r="Z449" s="82">
        <v>-34</v>
      </c>
      <c r="AA449" s="82">
        <v>-17</v>
      </c>
      <c r="AB449" s="82">
        <v>29</v>
      </c>
      <c r="AC449" s="82">
        <v>-12</v>
      </c>
      <c r="AD449" s="82">
        <v>-3</v>
      </c>
      <c r="AE449" s="82">
        <v>-89</v>
      </c>
      <c r="AF449" s="82">
        <v>14</v>
      </c>
      <c r="AG449" s="82">
        <v>-4</v>
      </c>
      <c r="AH449" s="82">
        <v>6</v>
      </c>
      <c r="AI449" s="82">
        <v>-17</v>
      </c>
      <c r="AJ449" s="85" t="s">
        <v>127</v>
      </c>
      <c r="AK449" s="85" t="s">
        <v>127</v>
      </c>
      <c r="AL449" s="85" t="s">
        <v>127</v>
      </c>
      <c r="AM449" s="85" t="s">
        <v>127</v>
      </c>
      <c r="AN449" s="85" t="s">
        <v>127</v>
      </c>
      <c r="AO449" s="85" t="s">
        <v>127</v>
      </c>
      <c r="AP449" s="85" t="s">
        <v>127</v>
      </c>
      <c r="AQ449" s="85" t="s">
        <v>127</v>
      </c>
      <c r="AR449" s="85" t="s">
        <v>127</v>
      </c>
      <c r="AS449" s="85" t="s">
        <v>127</v>
      </c>
      <c r="AT449" s="85" t="s">
        <v>127</v>
      </c>
      <c r="AU449" s="85" t="s">
        <v>127</v>
      </c>
      <c r="AV449" s="85" t="s">
        <v>127</v>
      </c>
      <c r="AW449" s="85" t="s">
        <v>127</v>
      </c>
      <c r="AX449" s="85" t="s">
        <v>127</v>
      </c>
      <c r="AY449" s="85" t="s">
        <v>127</v>
      </c>
      <c r="AZ449" s="85" t="s">
        <v>127</v>
      </c>
      <c r="BA449" s="85" t="s">
        <v>127</v>
      </c>
      <c r="BB449" s="85" t="s">
        <v>127</v>
      </c>
      <c r="BC449" s="85" t="s">
        <v>127</v>
      </c>
      <c r="BD449" s="85" t="s">
        <v>127</v>
      </c>
      <c r="BE449" s="85" t="s">
        <v>127</v>
      </c>
      <c r="BF449" s="85" t="s">
        <v>127</v>
      </c>
      <c r="BG449" s="85" t="s">
        <v>127</v>
      </c>
      <c r="BH449" s="85" t="s">
        <v>127</v>
      </c>
      <c r="BI449" s="85" t="s">
        <v>127</v>
      </c>
      <c r="BJ449" s="85" t="s">
        <v>127</v>
      </c>
      <c r="BK449" s="85"/>
      <c r="BL449" s="85"/>
      <c r="BM449" s="85"/>
      <c r="BN449" s="85"/>
      <c r="BO449" s="85"/>
      <c r="BQ449" s="85" t="s">
        <v>127</v>
      </c>
      <c r="BR449" s="85" t="s">
        <v>127</v>
      </c>
      <c r="BS449" s="85" t="s">
        <v>127</v>
      </c>
      <c r="BT449" s="85" t="s">
        <v>127</v>
      </c>
      <c r="BU449" s="86" t="s">
        <v>127</v>
      </c>
      <c r="BV449" s="86" t="s">
        <v>127</v>
      </c>
      <c r="BW449" s="65">
        <f>+SUM(P449:S449)</f>
        <v>-7</v>
      </c>
      <c r="BX449" s="65">
        <f>+SUM(T449:W449)</f>
        <v>-88</v>
      </c>
      <c r="BY449" s="65">
        <f>+SUM(X449:AA449)</f>
        <v>-59</v>
      </c>
      <c r="BZ449" s="65">
        <f>+SUM(AB449:AE449)</f>
        <v>-75</v>
      </c>
      <c r="CA449" s="65">
        <f>+SUM(AF449:AI449)</f>
        <v>-1</v>
      </c>
      <c r="CB449" s="65">
        <f>+SUM(AJ449:AM449)</f>
        <v>0</v>
      </c>
      <c r="CC449" s="65">
        <f t="shared" si="812"/>
        <v>0</v>
      </c>
      <c r="CD449" s="65">
        <f t="shared" si="813"/>
        <v>0</v>
      </c>
      <c r="CE449" s="65">
        <f>+SUM(AV449:AY449)</f>
        <v>0</v>
      </c>
      <c r="CF449" s="65">
        <f>+SUM(AZ449:BC449)</f>
        <v>0</v>
      </c>
      <c r="CG449" s="65">
        <f>+SUM(BD449:BG449)</f>
        <v>0</v>
      </c>
      <c r="CH449" s="65"/>
      <c r="CI449" s="65"/>
    </row>
    <row r="450" spans="2:89" x14ac:dyDescent="0.2">
      <c r="B450" s="70" t="s">
        <v>131</v>
      </c>
      <c r="H450" s="87">
        <f>SUM(H446:H449)</f>
        <v>10</v>
      </c>
      <c r="I450" s="87">
        <f t="shared" ref="I450:AT450" si="814">SUM(I446:I449)</f>
        <v>-8</v>
      </c>
      <c r="J450" s="87">
        <f t="shared" si="814"/>
        <v>-35</v>
      </c>
      <c r="K450" s="87">
        <f t="shared" si="814"/>
        <v>-28</v>
      </c>
      <c r="L450" s="87">
        <f t="shared" si="814"/>
        <v>1</v>
      </c>
      <c r="M450" s="87">
        <f t="shared" si="814"/>
        <v>-22</v>
      </c>
      <c r="N450" s="87">
        <f t="shared" si="814"/>
        <v>-5</v>
      </c>
      <c r="O450" s="87">
        <f t="shared" si="814"/>
        <v>-18</v>
      </c>
      <c r="P450" s="87">
        <f t="shared" si="814"/>
        <v>-20</v>
      </c>
      <c r="Q450" s="87">
        <f t="shared" si="814"/>
        <v>-17</v>
      </c>
      <c r="R450" s="87">
        <f t="shared" si="814"/>
        <v>-10</v>
      </c>
      <c r="S450" s="87">
        <f t="shared" si="814"/>
        <v>3</v>
      </c>
      <c r="T450" s="87">
        <f t="shared" si="814"/>
        <v>0</v>
      </c>
      <c r="U450" s="87">
        <f t="shared" si="814"/>
        <v>-4</v>
      </c>
      <c r="V450" s="87">
        <f t="shared" si="814"/>
        <v>-61</v>
      </c>
      <c r="W450" s="87">
        <f t="shared" si="814"/>
        <v>-19</v>
      </c>
      <c r="X450" s="87">
        <f t="shared" si="814"/>
        <v>-1</v>
      </c>
      <c r="Y450" s="87">
        <f t="shared" si="814"/>
        <v>0</v>
      </c>
      <c r="Z450" s="87">
        <f t="shared" si="814"/>
        <v>-27</v>
      </c>
      <c r="AA450" s="87">
        <f t="shared" si="814"/>
        <v>-3</v>
      </c>
      <c r="AB450" s="87">
        <f t="shared" si="814"/>
        <v>56</v>
      </c>
      <c r="AC450" s="87">
        <f t="shared" si="814"/>
        <v>20</v>
      </c>
      <c r="AD450" s="87">
        <f t="shared" si="814"/>
        <v>47</v>
      </c>
      <c r="AE450" s="87">
        <f t="shared" si="814"/>
        <v>-33</v>
      </c>
      <c r="AF450" s="87">
        <f t="shared" si="814"/>
        <v>81</v>
      </c>
      <c r="AG450" s="87">
        <f t="shared" si="814"/>
        <v>87</v>
      </c>
      <c r="AH450" s="87">
        <f t="shared" si="814"/>
        <v>114</v>
      </c>
      <c r="AI450" s="87">
        <f t="shared" si="814"/>
        <v>109</v>
      </c>
      <c r="AJ450" s="87">
        <f t="shared" si="814"/>
        <v>161</v>
      </c>
      <c r="AK450" s="87">
        <f t="shared" si="814"/>
        <v>5</v>
      </c>
      <c r="AL450" s="87">
        <f t="shared" si="814"/>
        <v>131</v>
      </c>
      <c r="AM450" s="87">
        <f t="shared" si="814"/>
        <v>151</v>
      </c>
      <c r="AN450" s="87">
        <f t="shared" si="814"/>
        <v>165</v>
      </c>
      <c r="AO450" s="87">
        <f t="shared" si="814"/>
        <v>206</v>
      </c>
      <c r="AP450" s="87">
        <f t="shared" si="814"/>
        <v>144</v>
      </c>
      <c r="AQ450" s="87">
        <f t="shared" si="814"/>
        <v>311</v>
      </c>
      <c r="AR450" s="87">
        <f t="shared" si="814"/>
        <v>-32</v>
      </c>
      <c r="AS450" s="87">
        <f t="shared" si="814"/>
        <v>168</v>
      </c>
      <c r="AT450" s="87">
        <f t="shared" si="814"/>
        <v>93</v>
      </c>
      <c r="AU450" s="87">
        <f t="shared" ref="AU450:AZ450" si="815">SUM(AU446:AU449)</f>
        <v>280</v>
      </c>
      <c r="AV450" s="87">
        <f t="shared" si="815"/>
        <v>125</v>
      </c>
      <c r="AW450" s="87">
        <f t="shared" si="815"/>
        <v>146</v>
      </c>
      <c r="AX450" s="87">
        <f t="shared" si="815"/>
        <v>146</v>
      </c>
      <c r="AY450" s="87">
        <f t="shared" si="815"/>
        <v>117</v>
      </c>
      <c r="AZ450" s="87">
        <f t="shared" si="815"/>
        <v>384</v>
      </c>
      <c r="BA450" s="87">
        <f t="shared" ref="BA450:BI450" si="816">SUM(BA446:BA449)</f>
        <v>-172</v>
      </c>
      <c r="BB450" s="87">
        <f t="shared" si="816"/>
        <v>-88</v>
      </c>
      <c r="BC450" s="87">
        <f t="shared" si="816"/>
        <v>-250</v>
      </c>
      <c r="BD450" s="87">
        <f t="shared" si="816"/>
        <v>80</v>
      </c>
      <c r="BE450" s="87">
        <f t="shared" si="816"/>
        <v>-99</v>
      </c>
      <c r="BF450" s="87">
        <f t="shared" si="816"/>
        <v>272</v>
      </c>
      <c r="BG450" s="87">
        <f t="shared" si="816"/>
        <v>424</v>
      </c>
      <c r="BH450" s="87">
        <f t="shared" si="816"/>
        <v>365</v>
      </c>
      <c r="BI450" s="87">
        <f t="shared" si="816"/>
        <v>259</v>
      </c>
      <c r="BJ450" s="87">
        <f t="shared" ref="BJ450" si="817">SUM(BJ446:BJ449)</f>
        <v>472</v>
      </c>
      <c r="BK450" s="87"/>
      <c r="BL450" s="87"/>
      <c r="BM450" s="87"/>
      <c r="BN450" s="87"/>
      <c r="BO450" s="87"/>
      <c r="BP450" s="87"/>
      <c r="BQ450" s="81">
        <v>-11</v>
      </c>
      <c r="BR450" s="81">
        <v>-1</v>
      </c>
      <c r="BS450" s="81">
        <v>-8</v>
      </c>
      <c r="BT450" s="81">
        <v>-24</v>
      </c>
      <c r="BU450" s="87">
        <f t="shared" ref="BU450:CB450" si="818">SUM(BU446:BU449)</f>
        <v>-61</v>
      </c>
      <c r="BV450" s="87">
        <f t="shared" si="818"/>
        <v>-44</v>
      </c>
      <c r="BW450" s="87">
        <f t="shared" si="818"/>
        <v>-44</v>
      </c>
      <c r="BX450" s="87">
        <f t="shared" si="818"/>
        <v>-84</v>
      </c>
      <c r="BY450" s="87">
        <f t="shared" si="818"/>
        <v>-31</v>
      </c>
      <c r="BZ450" s="87">
        <f t="shared" si="818"/>
        <v>90</v>
      </c>
      <c r="CA450" s="87">
        <f t="shared" si="818"/>
        <v>391</v>
      </c>
      <c r="CB450" s="87">
        <f t="shared" si="818"/>
        <v>448</v>
      </c>
      <c r="CC450" s="64">
        <f t="shared" si="812"/>
        <v>826</v>
      </c>
      <c r="CD450" s="64">
        <f t="shared" si="813"/>
        <v>509</v>
      </c>
      <c r="CE450" s="64">
        <f>+SUM(AV450:AY450)</f>
        <v>534</v>
      </c>
      <c r="CF450" s="64">
        <f>+SUM(AZ450:BC450)</f>
        <v>-126</v>
      </c>
      <c r="CG450" s="64">
        <f>+SUM(BD450:BG450)</f>
        <v>677</v>
      </c>
      <c r="CH450" s="64"/>
      <c r="CI450" s="64"/>
    </row>
    <row r="452" spans="2:89" x14ac:dyDescent="0.2">
      <c r="B452" t="s">
        <v>132</v>
      </c>
      <c r="H452" s="64">
        <f>+H442+H450</f>
        <v>398</v>
      </c>
      <c r="I452" s="64">
        <f t="shared" ref="I452:CB452" si="819">+I442+I450</f>
        <v>399</v>
      </c>
      <c r="J452" s="64">
        <f t="shared" si="819"/>
        <v>379</v>
      </c>
      <c r="K452" s="64">
        <f t="shared" si="819"/>
        <v>520</v>
      </c>
      <c r="L452" s="64">
        <f t="shared" si="819"/>
        <v>382</v>
      </c>
      <c r="M452" s="64">
        <f t="shared" si="819"/>
        <v>-765</v>
      </c>
      <c r="N452" s="64">
        <f t="shared" si="819"/>
        <v>372</v>
      </c>
      <c r="O452" s="64">
        <f t="shared" si="819"/>
        <v>505</v>
      </c>
      <c r="P452" s="64">
        <f t="shared" si="819"/>
        <v>353</v>
      </c>
      <c r="Q452" s="64">
        <f t="shared" si="819"/>
        <v>545</v>
      </c>
      <c r="R452" s="64">
        <f t="shared" si="819"/>
        <v>726</v>
      </c>
      <c r="S452" s="64">
        <f t="shared" si="819"/>
        <v>1136</v>
      </c>
      <c r="T452" s="64">
        <f t="shared" si="819"/>
        <v>1075</v>
      </c>
      <c r="U452" s="64">
        <f t="shared" si="819"/>
        <v>1386</v>
      </c>
      <c r="V452" s="64">
        <f t="shared" si="819"/>
        <v>1336</v>
      </c>
      <c r="W452" s="64">
        <f t="shared" si="819"/>
        <v>1114</v>
      </c>
      <c r="X452" s="64">
        <f t="shared" si="819"/>
        <v>932</v>
      </c>
      <c r="Y452" s="64">
        <f t="shared" si="819"/>
        <v>1273</v>
      </c>
      <c r="Z452" s="64">
        <f t="shared" si="819"/>
        <v>1432</v>
      </c>
      <c r="AA452" s="64">
        <f t="shared" si="819"/>
        <v>2557</v>
      </c>
      <c r="AB452" s="64">
        <f t="shared" si="819"/>
        <v>2066</v>
      </c>
      <c r="AC452" s="64">
        <f t="shared" si="819"/>
        <v>2754</v>
      </c>
      <c r="AD452" s="64">
        <f t="shared" si="819"/>
        <v>3164</v>
      </c>
      <c r="AE452" s="64">
        <f t="shared" si="819"/>
        <v>4533</v>
      </c>
      <c r="AF452" s="64">
        <f t="shared" si="819"/>
        <v>3408</v>
      </c>
      <c r="AG452" s="64">
        <f t="shared" si="819"/>
        <v>4488</v>
      </c>
      <c r="AH452" s="64">
        <f t="shared" si="819"/>
        <v>5236</v>
      </c>
      <c r="AI452" s="64">
        <f t="shared" si="819"/>
        <v>7461</v>
      </c>
      <c r="AJ452" s="64">
        <f t="shared" si="819"/>
        <v>5610</v>
      </c>
      <c r="AK452" s="64">
        <f t="shared" si="819"/>
        <v>5868</v>
      </c>
      <c r="AL452" s="64">
        <f t="shared" si="819"/>
        <v>5912</v>
      </c>
      <c r="AM452" s="64">
        <f t="shared" si="819"/>
        <v>7971</v>
      </c>
      <c r="AN452" s="64">
        <f t="shared" si="819"/>
        <v>3482</v>
      </c>
      <c r="AO452" s="64">
        <f t="shared" si="819"/>
        <v>4832</v>
      </c>
      <c r="AP452" s="64">
        <f t="shared" si="819"/>
        <v>7329</v>
      </c>
      <c r="AQ452" s="64">
        <f t="shared" si="819"/>
        <v>9169</v>
      </c>
      <c r="AR452" s="64">
        <f t="shared" si="819"/>
        <v>5861</v>
      </c>
      <c r="AS452" s="64">
        <f t="shared" si="819"/>
        <v>6131</v>
      </c>
      <c r="AT452" s="64">
        <f t="shared" si="819"/>
        <v>8133</v>
      </c>
      <c r="AU452" s="64">
        <f t="shared" ref="AU452:AZ452" si="820">+AU442+AU450</f>
        <v>13055</v>
      </c>
      <c r="AV452" s="64">
        <f t="shared" si="820"/>
        <v>11503</v>
      </c>
      <c r="AW452" s="64">
        <f t="shared" si="820"/>
        <v>12513</v>
      </c>
      <c r="AX452" s="64">
        <f t="shared" si="820"/>
        <v>10569</v>
      </c>
      <c r="AY452" s="64">
        <f t="shared" si="820"/>
        <v>12702</v>
      </c>
      <c r="AZ452" s="64">
        <f t="shared" si="820"/>
        <v>8908</v>
      </c>
      <c r="BA452" s="64">
        <f t="shared" ref="BA452:BJ452" si="821">+BA442+BA450</f>
        <v>8186</v>
      </c>
      <c r="BB452" s="64">
        <f t="shared" si="821"/>
        <v>5576</v>
      </c>
      <c r="BC452" s="64">
        <f t="shared" si="821"/>
        <v>6149</v>
      </c>
      <c r="BD452" s="64">
        <f t="shared" si="821"/>
        <v>7307</v>
      </c>
      <c r="BE452" s="64">
        <f t="shared" si="821"/>
        <v>9293</v>
      </c>
      <c r="BF452" s="64">
        <f t="shared" si="821"/>
        <v>14020</v>
      </c>
      <c r="BG452" s="64">
        <f t="shared" si="821"/>
        <v>16808</v>
      </c>
      <c r="BH452" s="64">
        <f t="shared" si="821"/>
        <v>14183</v>
      </c>
      <c r="BI452" s="64">
        <f t="shared" si="821"/>
        <v>15106</v>
      </c>
      <c r="BJ452" s="64">
        <f t="shared" si="821"/>
        <v>17822</v>
      </c>
      <c r="BK452" s="64"/>
      <c r="BL452" s="64"/>
      <c r="BM452" s="64"/>
      <c r="BN452" s="64"/>
      <c r="BO452" s="64"/>
      <c r="BQ452" s="64">
        <f t="shared" si="819"/>
        <v>-135</v>
      </c>
      <c r="BR452" s="64">
        <f t="shared" si="819"/>
        <v>-56</v>
      </c>
      <c r="BS452" s="64">
        <f t="shared" si="819"/>
        <v>254</v>
      </c>
      <c r="BT452" s="64">
        <f t="shared" si="819"/>
        <v>1008</v>
      </c>
      <c r="BU452" s="64">
        <f t="shared" si="819"/>
        <v>1696</v>
      </c>
      <c r="BV452" s="64">
        <f t="shared" si="819"/>
        <v>494</v>
      </c>
      <c r="BW452" s="64">
        <f t="shared" si="819"/>
        <v>2760</v>
      </c>
      <c r="BX452" s="64">
        <f t="shared" si="819"/>
        <v>4911</v>
      </c>
      <c r="BY452" s="64">
        <f t="shared" si="819"/>
        <v>6194</v>
      </c>
      <c r="BZ452" s="64">
        <f t="shared" si="819"/>
        <v>12517</v>
      </c>
      <c r="CA452" s="64">
        <f t="shared" si="819"/>
        <v>20593</v>
      </c>
      <c r="CB452" s="64">
        <f t="shared" si="819"/>
        <v>25361</v>
      </c>
      <c r="CC452" s="64">
        <f t="shared" si="812"/>
        <v>24812</v>
      </c>
      <c r="CD452" s="64">
        <f t="shared" si="813"/>
        <v>33180</v>
      </c>
      <c r="CE452" s="64">
        <f>+SUM(AV452:AY452)</f>
        <v>47287</v>
      </c>
      <c r="CF452" s="64">
        <f>+SUM(AZ452:BC452)</f>
        <v>28819</v>
      </c>
      <c r="CG452" s="64">
        <f>+SUM(BD452:BG452)</f>
        <v>47428</v>
      </c>
      <c r="CH452" s="64"/>
      <c r="CI452" s="64"/>
    </row>
    <row r="454" spans="2:89" x14ac:dyDescent="0.2">
      <c r="B454" t="s">
        <v>133</v>
      </c>
      <c r="H454" s="81">
        <v>-165</v>
      </c>
      <c r="I454" s="81">
        <v>-159</v>
      </c>
      <c r="J454" s="81">
        <v>-152</v>
      </c>
      <c r="K454" s="81">
        <v>-218</v>
      </c>
      <c r="L454" s="81">
        <v>-177</v>
      </c>
      <c r="M454" s="81">
        <v>608</v>
      </c>
      <c r="N454" s="81">
        <v>-431</v>
      </c>
      <c r="O454" s="81">
        <v>-441</v>
      </c>
      <c r="P454" s="81">
        <v>-134</v>
      </c>
      <c r="Q454" s="81">
        <v>-212</v>
      </c>
      <c r="R454" s="81">
        <v>-301</v>
      </c>
      <c r="S454" s="81">
        <v>-607</v>
      </c>
      <c r="T454" s="81">
        <v>-433</v>
      </c>
      <c r="U454" s="81">
        <v>-595</v>
      </c>
      <c r="V454" s="81">
        <v>-530</v>
      </c>
      <c r="W454" s="81">
        <v>-413</v>
      </c>
      <c r="X454" s="81">
        <v>-420</v>
      </c>
      <c r="Y454" s="81">
        <v>-554</v>
      </c>
      <c r="Z454" s="81">
        <v>-536</v>
      </c>
      <c r="AA454" s="81">
        <v>-995</v>
      </c>
      <c r="AB454" s="81">
        <v>-328</v>
      </c>
      <c r="AC454" s="81">
        <v>-471</v>
      </c>
      <c r="AD454" s="81">
        <v>-537</v>
      </c>
      <c r="AE454" s="81">
        <v>-965</v>
      </c>
      <c r="AF454" s="81">
        <v>-344</v>
      </c>
      <c r="AG454" s="81">
        <v>-594</v>
      </c>
      <c r="AH454" s="81">
        <v>-529</v>
      </c>
      <c r="AI454" s="81">
        <v>-3194</v>
      </c>
      <c r="AJ454" s="81">
        <v>-622</v>
      </c>
      <c r="AK454" s="81">
        <v>-762</v>
      </c>
      <c r="AL454" s="81">
        <v>-775</v>
      </c>
      <c r="AM454" s="81">
        <v>-1089</v>
      </c>
      <c r="AN454" s="81">
        <v>-1053</v>
      </c>
      <c r="AO454" s="81">
        <v>-2216</v>
      </c>
      <c r="AP454" s="81">
        <v>-1238</v>
      </c>
      <c r="AQ454" s="81">
        <v>-1820</v>
      </c>
      <c r="AR454" s="81">
        <v>-959</v>
      </c>
      <c r="AS454" s="81">
        <v>-953</v>
      </c>
      <c r="AT454" s="81">
        <v>-287</v>
      </c>
      <c r="AU454" s="81">
        <v>-1836</v>
      </c>
      <c r="AV454" s="81">
        <v>-2006</v>
      </c>
      <c r="AW454" s="81">
        <v>-2119</v>
      </c>
      <c r="AX454" s="81">
        <v>-1371</v>
      </c>
      <c r="AY454" s="81">
        <v>-2417</v>
      </c>
      <c r="AZ454" s="81">
        <v>-1443</v>
      </c>
      <c r="BA454" s="81">
        <v>-1499</v>
      </c>
      <c r="BB454" s="81">
        <v>-1181</v>
      </c>
      <c r="BC454" s="81">
        <v>-1497</v>
      </c>
      <c r="BD454" s="81">
        <v>-1598</v>
      </c>
      <c r="BE454" s="81">
        <v>-1505</v>
      </c>
      <c r="BF454" s="81">
        <v>-2437</v>
      </c>
      <c r="BG454" s="81">
        <v>-2791</v>
      </c>
      <c r="BH454" s="81">
        <v>-1814</v>
      </c>
      <c r="BI454" s="81">
        <v>-1641</v>
      </c>
      <c r="BJ454" s="81">
        <v>-2134</v>
      </c>
      <c r="BK454" s="81"/>
      <c r="BL454" s="81"/>
      <c r="BM454" s="81"/>
      <c r="BN454" s="81"/>
      <c r="BO454" s="81"/>
      <c r="BQ454" s="81">
        <v>-3</v>
      </c>
      <c r="BR454" s="81">
        <v>0</v>
      </c>
      <c r="BS454" s="81">
        <v>-25</v>
      </c>
      <c r="BT454" s="81">
        <v>-402</v>
      </c>
      <c r="BU454" s="64">
        <f>+SUM(H454:K454)</f>
        <v>-694</v>
      </c>
      <c r="BV454" s="64">
        <f>+SUM(L454:O454)</f>
        <v>-441</v>
      </c>
      <c r="BW454" s="64">
        <f>+SUM(P454:S454)</f>
        <v>-1254</v>
      </c>
      <c r="BX454" s="64">
        <f>+SUM(T454:W454)</f>
        <v>-1971</v>
      </c>
      <c r="BY454" s="64">
        <f>+SUM(X454:AA454)</f>
        <v>-2505</v>
      </c>
      <c r="BZ454" s="64">
        <f>+SUM(AB454:AE454)</f>
        <v>-2301</v>
      </c>
      <c r="CA454" s="64">
        <f>+SUM(AF454:AI454)</f>
        <v>-4661</v>
      </c>
      <c r="CB454" s="64">
        <f>+SUM(AJ454:AM454)</f>
        <v>-3248</v>
      </c>
      <c r="CC454" s="64">
        <f t="shared" si="812"/>
        <v>-6327</v>
      </c>
      <c r="CD454" s="64">
        <f t="shared" si="813"/>
        <v>-4035</v>
      </c>
      <c r="CE454" s="64">
        <f>+SUM(AV454:AY454)</f>
        <v>-7913</v>
      </c>
      <c r="CF454" s="64">
        <f>+SUM(AZ454:BC454)</f>
        <v>-5620</v>
      </c>
      <c r="CG454" s="64">
        <f>+SUM(BD454:BG454)</f>
        <v>-8331</v>
      </c>
      <c r="CH454" s="64"/>
      <c r="CI454" s="64"/>
      <c r="CK454" s="64">
        <f>-CF454-CF519</f>
        <v>8906</v>
      </c>
    </row>
    <row r="455" spans="2:89" s="76" customFormat="1" x14ac:dyDescent="0.2">
      <c r="B455" s="60" t="s">
        <v>28</v>
      </c>
      <c r="H455" s="57">
        <f t="shared" ref="H455:Y455" si="822">-H454/H452</f>
        <v>0.41457286432160806</v>
      </c>
      <c r="I455" s="57">
        <f t="shared" si="822"/>
        <v>0.39849624060150374</v>
      </c>
      <c r="J455" s="57">
        <f t="shared" si="822"/>
        <v>0.40105540897097625</v>
      </c>
      <c r="K455" s="57">
        <f t="shared" si="822"/>
        <v>0.41923076923076924</v>
      </c>
      <c r="L455" s="57">
        <f t="shared" si="822"/>
        <v>0.46335078534031415</v>
      </c>
      <c r="M455" s="57">
        <f t="shared" si="822"/>
        <v>0.79477124183006531</v>
      </c>
      <c r="N455" s="57">
        <f t="shared" si="822"/>
        <v>1.1586021505376345</v>
      </c>
      <c r="O455" s="57">
        <f t="shared" si="822"/>
        <v>0.87326732673267327</v>
      </c>
      <c r="P455" s="57">
        <f t="shared" si="822"/>
        <v>0.37960339943342775</v>
      </c>
      <c r="Q455" s="57">
        <f t="shared" si="822"/>
        <v>0.38899082568807342</v>
      </c>
      <c r="R455" s="57">
        <f t="shared" si="822"/>
        <v>0.41460055096418735</v>
      </c>
      <c r="S455" s="57">
        <f t="shared" si="822"/>
        <v>0.534330985915493</v>
      </c>
      <c r="T455" s="57">
        <f t="shared" si="822"/>
        <v>0.40279069767441861</v>
      </c>
      <c r="U455" s="57">
        <f t="shared" si="822"/>
        <v>0.42929292929292928</v>
      </c>
      <c r="V455" s="57">
        <f t="shared" si="822"/>
        <v>0.3967065868263473</v>
      </c>
      <c r="W455" s="57">
        <f t="shared" si="822"/>
        <v>0.37073608617594256</v>
      </c>
      <c r="X455" s="57">
        <f t="shared" si="822"/>
        <v>0.45064377682403434</v>
      </c>
      <c r="Y455" s="57">
        <f t="shared" si="822"/>
        <v>0.43519245875883739</v>
      </c>
      <c r="Z455" s="57">
        <f>-Z454/Z452</f>
        <v>0.37430167597765363</v>
      </c>
      <c r="AA455" s="57">
        <f t="shared" ref="AA455:CD455" si="823">-AA454/AA452</f>
        <v>0.38912788423934297</v>
      </c>
      <c r="AB455" s="57">
        <f t="shared" si="823"/>
        <v>0.15876089060987417</v>
      </c>
      <c r="AC455" s="57">
        <f t="shared" si="823"/>
        <v>0.17102396514161219</v>
      </c>
      <c r="AD455" s="57">
        <f t="shared" si="823"/>
        <v>0.16972187104930467</v>
      </c>
      <c r="AE455" s="57">
        <f t="shared" si="823"/>
        <v>0.21288330024266491</v>
      </c>
      <c r="AF455" s="57">
        <f t="shared" si="823"/>
        <v>0.10093896713615023</v>
      </c>
      <c r="AG455" s="57">
        <f t="shared" si="823"/>
        <v>0.13235294117647059</v>
      </c>
      <c r="AH455" s="57">
        <f t="shared" si="823"/>
        <v>0.10103132161955691</v>
      </c>
      <c r="AI455" s="57">
        <f t="shared" si="823"/>
        <v>0.42809274896126526</v>
      </c>
      <c r="AJ455" s="57">
        <f t="shared" si="823"/>
        <v>0.11087344028520499</v>
      </c>
      <c r="AK455" s="57">
        <f t="shared" si="823"/>
        <v>0.12985685071574643</v>
      </c>
      <c r="AL455" s="57">
        <f t="shared" si="823"/>
        <v>0.13108930987821379</v>
      </c>
      <c r="AM455" s="57">
        <f t="shared" si="823"/>
        <v>0.13662024840045164</v>
      </c>
      <c r="AN455" s="57">
        <f t="shared" si="823"/>
        <v>0.30241240666283747</v>
      </c>
      <c r="AO455" s="57">
        <f t="shared" si="823"/>
        <v>0.45860927152317882</v>
      </c>
      <c r="AP455" s="57">
        <f t="shared" si="823"/>
        <v>0.16891799699822621</v>
      </c>
      <c r="AQ455" s="57">
        <f t="shared" si="823"/>
        <v>0.19849492856363835</v>
      </c>
      <c r="AR455" s="57">
        <f t="shared" si="823"/>
        <v>0.16362395495649207</v>
      </c>
      <c r="AS455" s="57">
        <f t="shared" si="823"/>
        <v>0.15543956940140272</v>
      </c>
      <c r="AT455" s="57">
        <f t="shared" si="823"/>
        <v>3.5288331488995447E-2</v>
      </c>
      <c r="AU455" s="57">
        <f t="shared" ref="AU455:AZ455" si="824">-AU454/AU452</f>
        <v>0.14063577173496744</v>
      </c>
      <c r="AV455" s="57">
        <f t="shared" si="824"/>
        <v>0.17438928975049986</v>
      </c>
      <c r="AW455" s="57">
        <f t="shared" si="824"/>
        <v>0.16934388236234316</v>
      </c>
      <c r="AX455" s="57">
        <f t="shared" si="824"/>
        <v>0.12971898949758728</v>
      </c>
      <c r="AY455" s="57">
        <f t="shared" si="824"/>
        <v>0.19028499448905684</v>
      </c>
      <c r="AZ455" s="57">
        <f t="shared" si="824"/>
        <v>0.1619892231701841</v>
      </c>
      <c r="BA455" s="57">
        <f t="shared" ref="BA455:BI455" si="825">-BA454/BA452</f>
        <v>0.18311751771316884</v>
      </c>
      <c r="BB455" s="57">
        <f t="shared" si="825"/>
        <v>0.21180057388809181</v>
      </c>
      <c r="BC455" s="57">
        <f t="shared" si="825"/>
        <v>0.24345422019840623</v>
      </c>
      <c r="BD455" s="57">
        <f t="shared" si="825"/>
        <v>0.21869440262761736</v>
      </c>
      <c r="BE455" s="57">
        <f t="shared" si="825"/>
        <v>0.16194985472936618</v>
      </c>
      <c r="BF455" s="57">
        <f t="shared" si="825"/>
        <v>0.1738231098430813</v>
      </c>
      <c r="BG455" s="57">
        <f t="shared" si="825"/>
        <v>0.16605188005711566</v>
      </c>
      <c r="BH455" s="57">
        <f t="shared" si="825"/>
        <v>0.12789959811041388</v>
      </c>
      <c r="BI455" s="57">
        <f t="shared" si="825"/>
        <v>0.10863233152389778</v>
      </c>
      <c r="BJ455" s="57">
        <f t="shared" ref="BJ455" si="826">-BJ454/BJ452</f>
        <v>0.11973964762652901</v>
      </c>
      <c r="BK455" s="57"/>
      <c r="BL455" s="57"/>
      <c r="BM455" s="57"/>
      <c r="BN455" s="57"/>
      <c r="BO455" s="57"/>
      <c r="BQ455" s="57">
        <f t="shared" si="823"/>
        <v>-2.2222222222222223E-2</v>
      </c>
      <c r="BR455" s="57">
        <f t="shared" si="823"/>
        <v>0</v>
      </c>
      <c r="BS455" s="57">
        <f t="shared" si="823"/>
        <v>9.8425196850393706E-2</v>
      </c>
      <c r="BT455" s="57">
        <f t="shared" si="823"/>
        <v>0.39880952380952384</v>
      </c>
      <c r="BU455" s="57">
        <f t="shared" si="823"/>
        <v>0.40919811320754718</v>
      </c>
      <c r="BV455" s="57">
        <f t="shared" si="823"/>
        <v>0.89271255060728749</v>
      </c>
      <c r="BW455" s="57">
        <f t="shared" si="823"/>
        <v>0.45434782608695651</v>
      </c>
      <c r="BX455" s="57">
        <f t="shared" si="823"/>
        <v>0.40134392180818573</v>
      </c>
      <c r="BY455" s="57">
        <f t="shared" si="823"/>
        <v>0.40442363577655793</v>
      </c>
      <c r="BZ455" s="57">
        <f t="shared" si="823"/>
        <v>0.18382999121195173</v>
      </c>
      <c r="CA455" s="57">
        <f t="shared" si="823"/>
        <v>0.22633904724906523</v>
      </c>
      <c r="CB455" s="57">
        <f t="shared" si="823"/>
        <v>0.12807065967430306</v>
      </c>
      <c r="CC455" s="57">
        <f t="shared" si="823"/>
        <v>0.25499758181525067</v>
      </c>
      <c r="CD455" s="57">
        <f t="shared" si="823"/>
        <v>0.12160940325497288</v>
      </c>
      <c r="CE455" s="57">
        <f>-CE454/CE452</f>
        <v>0.16733986084970498</v>
      </c>
      <c r="CF455" s="57">
        <f>-CF454/CF452</f>
        <v>0.19501023630243935</v>
      </c>
      <c r="CG455" s="57">
        <f>-CG454/CG452</f>
        <v>0.17565573079193725</v>
      </c>
      <c r="CH455" s="57"/>
      <c r="CI455" s="57"/>
    </row>
    <row r="457" spans="2:89" x14ac:dyDescent="0.2">
      <c r="B457" t="s">
        <v>134</v>
      </c>
      <c r="H457" s="64">
        <f t="shared" ref="H457:Y457" si="827">+H452+H454</f>
        <v>233</v>
      </c>
      <c r="I457" s="64">
        <f t="shared" si="827"/>
        <v>240</v>
      </c>
      <c r="J457" s="64">
        <f t="shared" si="827"/>
        <v>227</v>
      </c>
      <c r="K457" s="64">
        <f t="shared" si="827"/>
        <v>302</v>
      </c>
      <c r="L457" s="64">
        <f t="shared" si="827"/>
        <v>205</v>
      </c>
      <c r="M457" s="64">
        <f t="shared" si="827"/>
        <v>-157</v>
      </c>
      <c r="N457" s="64">
        <f t="shared" si="827"/>
        <v>-59</v>
      </c>
      <c r="O457" s="64">
        <f t="shared" si="827"/>
        <v>64</v>
      </c>
      <c r="P457" s="64">
        <f t="shared" si="827"/>
        <v>219</v>
      </c>
      <c r="Q457" s="64">
        <f t="shared" si="827"/>
        <v>333</v>
      </c>
      <c r="R457" s="64">
        <f t="shared" si="827"/>
        <v>425</v>
      </c>
      <c r="S457" s="64">
        <f t="shared" si="827"/>
        <v>529</v>
      </c>
      <c r="T457" s="64">
        <f t="shared" si="827"/>
        <v>642</v>
      </c>
      <c r="U457" s="64">
        <f t="shared" si="827"/>
        <v>791</v>
      </c>
      <c r="V457" s="64">
        <f t="shared" si="827"/>
        <v>806</v>
      </c>
      <c r="W457" s="64">
        <f t="shared" si="827"/>
        <v>701</v>
      </c>
      <c r="X457" s="64">
        <f t="shared" si="827"/>
        <v>512</v>
      </c>
      <c r="Y457" s="64">
        <f t="shared" si="827"/>
        <v>719</v>
      </c>
      <c r="Z457" s="64">
        <f>+Z452+Z454</f>
        <v>896</v>
      </c>
      <c r="AA457" s="64">
        <f t="shared" ref="AA457:CB457" si="828">+AA452+AA454</f>
        <v>1562</v>
      </c>
      <c r="AB457" s="64">
        <f t="shared" si="828"/>
        <v>1738</v>
      </c>
      <c r="AC457" s="64">
        <f t="shared" si="828"/>
        <v>2283</v>
      </c>
      <c r="AD457" s="64">
        <f t="shared" si="828"/>
        <v>2627</v>
      </c>
      <c r="AE457" s="64">
        <f t="shared" si="828"/>
        <v>3568</v>
      </c>
      <c r="AF457" s="64">
        <f t="shared" si="828"/>
        <v>3064</v>
      </c>
      <c r="AG457" s="64">
        <f t="shared" si="828"/>
        <v>3894</v>
      </c>
      <c r="AH457" s="64">
        <f t="shared" si="828"/>
        <v>4707</v>
      </c>
      <c r="AI457" s="64">
        <f t="shared" si="828"/>
        <v>4267</v>
      </c>
      <c r="AJ457" s="64">
        <f t="shared" si="828"/>
        <v>4988</v>
      </c>
      <c r="AK457" s="64">
        <f t="shared" si="828"/>
        <v>5106</v>
      </c>
      <c r="AL457" s="64">
        <f t="shared" si="828"/>
        <v>5137</v>
      </c>
      <c r="AM457" s="64">
        <f t="shared" si="828"/>
        <v>6882</v>
      </c>
      <c r="AN457" s="64">
        <f t="shared" si="828"/>
        <v>2429</v>
      </c>
      <c r="AO457" s="64">
        <f t="shared" si="828"/>
        <v>2616</v>
      </c>
      <c r="AP457" s="64">
        <f t="shared" si="828"/>
        <v>6091</v>
      </c>
      <c r="AQ457" s="64">
        <f t="shared" si="828"/>
        <v>7349</v>
      </c>
      <c r="AR457" s="64">
        <f t="shared" si="828"/>
        <v>4902</v>
      </c>
      <c r="AS457" s="64">
        <f t="shared" si="828"/>
        <v>5178</v>
      </c>
      <c r="AT457" s="64">
        <f t="shared" si="828"/>
        <v>7846</v>
      </c>
      <c r="AU457" s="64">
        <f t="shared" ref="AU457:AZ457" si="829">+AU452+AU454</f>
        <v>11219</v>
      </c>
      <c r="AV457" s="64">
        <f t="shared" si="829"/>
        <v>9497</v>
      </c>
      <c r="AW457" s="64">
        <f t="shared" si="829"/>
        <v>10394</v>
      </c>
      <c r="AX457" s="64">
        <f t="shared" si="829"/>
        <v>9198</v>
      </c>
      <c r="AY457" s="64">
        <f t="shared" si="829"/>
        <v>10285</v>
      </c>
      <c r="AZ457" s="64">
        <f t="shared" si="829"/>
        <v>7465</v>
      </c>
      <c r="BA457" s="64">
        <f t="shared" ref="BA457:BI457" si="830">+BA452+BA454</f>
        <v>6687</v>
      </c>
      <c r="BB457" s="64">
        <f t="shared" si="830"/>
        <v>4395</v>
      </c>
      <c r="BC457" s="64">
        <f t="shared" si="830"/>
        <v>4652</v>
      </c>
      <c r="BD457" s="64">
        <f t="shared" si="830"/>
        <v>5709</v>
      </c>
      <c r="BE457" s="64">
        <f t="shared" si="830"/>
        <v>7788</v>
      </c>
      <c r="BF457" s="64">
        <f t="shared" si="830"/>
        <v>11583</v>
      </c>
      <c r="BG457" s="64">
        <f t="shared" si="830"/>
        <v>14017</v>
      </c>
      <c r="BH457" s="64">
        <f t="shared" si="830"/>
        <v>12369</v>
      </c>
      <c r="BI457" s="64">
        <f t="shared" si="830"/>
        <v>13465</v>
      </c>
      <c r="BJ457" s="64">
        <f t="shared" ref="BJ457" si="831">+BJ452+BJ454</f>
        <v>15688</v>
      </c>
      <c r="BK457" s="64"/>
      <c r="BL457" s="64"/>
      <c r="BM457" s="64"/>
      <c r="BN457" s="64"/>
      <c r="BO457" s="64"/>
      <c r="BQ457" s="64">
        <f t="shared" si="828"/>
        <v>-138</v>
      </c>
      <c r="BR457" s="64">
        <f t="shared" si="828"/>
        <v>-56</v>
      </c>
      <c r="BS457" s="64">
        <f t="shared" si="828"/>
        <v>229</v>
      </c>
      <c r="BT457" s="64">
        <f t="shared" si="828"/>
        <v>606</v>
      </c>
      <c r="BU457" s="64">
        <f t="shared" si="828"/>
        <v>1002</v>
      </c>
      <c r="BV457" s="64">
        <f t="shared" si="828"/>
        <v>53</v>
      </c>
      <c r="BW457" s="64">
        <f t="shared" si="828"/>
        <v>1506</v>
      </c>
      <c r="BX457" s="64">
        <f t="shared" si="828"/>
        <v>2940</v>
      </c>
      <c r="BY457" s="64">
        <f t="shared" si="828"/>
        <v>3689</v>
      </c>
      <c r="BZ457" s="64">
        <f t="shared" si="828"/>
        <v>10216</v>
      </c>
      <c r="CA457" s="64">
        <f t="shared" si="828"/>
        <v>15932</v>
      </c>
      <c r="CB457" s="64">
        <f t="shared" si="828"/>
        <v>22113</v>
      </c>
      <c r="CC457" s="64">
        <f>+SUM(AN457:AQ457)</f>
        <v>18485</v>
      </c>
      <c r="CD457" s="64">
        <f>+SUM(AR457:AU457)</f>
        <v>29145</v>
      </c>
      <c r="CE457" s="64">
        <f>+SUM(AV457:AY457)</f>
        <v>39374</v>
      </c>
      <c r="CF457" s="64">
        <f>+SUM(AZ457:BC457)</f>
        <v>23199</v>
      </c>
      <c r="CG457" s="64">
        <f>+SUM(BD457:BG457)</f>
        <v>39097</v>
      </c>
      <c r="CH457" s="64"/>
      <c r="CI457" s="64"/>
    </row>
    <row r="458" spans="2:89" ht="13.5" x14ac:dyDescent="0.35">
      <c r="B458" t="s">
        <v>135</v>
      </c>
      <c r="H458" s="82">
        <v>77</v>
      </c>
      <c r="I458" s="82">
        <v>81</v>
      </c>
      <c r="J458" s="82">
        <v>77</v>
      </c>
      <c r="K458" s="82">
        <v>97</v>
      </c>
      <c r="L458" s="82">
        <v>21</v>
      </c>
      <c r="M458" s="82">
        <v>0</v>
      </c>
      <c r="N458" s="82">
        <v>0</v>
      </c>
      <c r="O458" s="82">
        <v>0</v>
      </c>
      <c r="P458" s="82">
        <v>2</v>
      </c>
      <c r="Q458" s="82">
        <v>2</v>
      </c>
      <c r="R458" s="82">
        <v>3</v>
      </c>
      <c r="S458" s="82">
        <v>3</v>
      </c>
      <c r="T458" s="82">
        <v>3</v>
      </c>
      <c r="U458" s="82">
        <v>3</v>
      </c>
      <c r="V458" s="82">
        <v>4</v>
      </c>
      <c r="W458" s="82">
        <v>5</v>
      </c>
      <c r="X458" s="82">
        <v>3</v>
      </c>
      <c r="Y458" s="82">
        <v>-4</v>
      </c>
      <c r="Z458" s="82">
        <v>5</v>
      </c>
      <c r="AA458" s="82">
        <v>7</v>
      </c>
      <c r="AB458" s="82">
        <v>6</v>
      </c>
      <c r="AC458" s="82">
        <v>7</v>
      </c>
      <c r="AD458" s="82">
        <v>7</v>
      </c>
      <c r="AE458" s="82">
        <v>7</v>
      </c>
      <c r="AF458" s="82">
        <v>5</v>
      </c>
      <c r="AG458" s="82">
        <v>4</v>
      </c>
      <c r="AH458" s="82">
        <v>3</v>
      </c>
      <c r="AI458" s="82">
        <v>2</v>
      </c>
      <c r="AJ458" s="82">
        <v>1</v>
      </c>
      <c r="AK458" s="82">
        <v>0</v>
      </c>
      <c r="AL458" s="82">
        <v>0</v>
      </c>
      <c r="AM458" s="82">
        <v>0</v>
      </c>
      <c r="AN458" s="82">
        <v>0</v>
      </c>
      <c r="AO458" s="82">
        <v>0</v>
      </c>
      <c r="AP458" s="82">
        <v>0</v>
      </c>
      <c r="AQ458" s="82">
        <v>0</v>
      </c>
      <c r="AR458" s="82">
        <v>0</v>
      </c>
      <c r="AS458" s="82">
        <v>0</v>
      </c>
      <c r="AT458" s="82">
        <v>0</v>
      </c>
      <c r="AU458" s="82">
        <v>0</v>
      </c>
      <c r="AV458" s="82">
        <v>0</v>
      </c>
      <c r="AW458" s="82">
        <v>0</v>
      </c>
      <c r="AX458" s="82">
        <v>0</v>
      </c>
      <c r="AY458" s="82">
        <v>0</v>
      </c>
      <c r="AZ458" s="82">
        <v>0</v>
      </c>
      <c r="BA458" s="82">
        <v>0</v>
      </c>
      <c r="BB458" s="82">
        <v>0</v>
      </c>
      <c r="BC458" s="82">
        <v>0</v>
      </c>
      <c r="BD458" s="82">
        <v>0</v>
      </c>
      <c r="BE458" s="82">
        <v>0</v>
      </c>
      <c r="BF458" s="82">
        <v>0</v>
      </c>
      <c r="BG458" s="82">
        <v>0</v>
      </c>
      <c r="BH458" s="82">
        <v>0</v>
      </c>
      <c r="BI458" s="82">
        <v>0</v>
      </c>
      <c r="BJ458" s="82">
        <v>0</v>
      </c>
      <c r="BK458" s="82"/>
      <c r="BL458" s="82"/>
      <c r="BM458" s="82"/>
      <c r="BN458" s="82"/>
      <c r="BO458" s="82"/>
      <c r="BQ458" s="82">
        <v>0</v>
      </c>
      <c r="BR458" s="82">
        <v>0</v>
      </c>
      <c r="BS458" s="82">
        <f>229-122</f>
        <v>107</v>
      </c>
      <c r="BT458" s="82">
        <f>606-372</f>
        <v>234</v>
      </c>
      <c r="BU458" s="65">
        <f>+SUM(H458:K458)</f>
        <v>332</v>
      </c>
      <c r="BV458" s="65">
        <f>+SUM(L458:O458)</f>
        <v>21</v>
      </c>
      <c r="BW458" s="65">
        <f>+SUM(P458:S458)</f>
        <v>10</v>
      </c>
      <c r="BX458" s="65">
        <f>+SUM(T458:W458)</f>
        <v>15</v>
      </c>
      <c r="BY458" s="65">
        <f>+SUM(X458:AA458)</f>
        <v>11</v>
      </c>
      <c r="BZ458" s="65">
        <f>+SUM(AB458:AE458)</f>
        <v>27</v>
      </c>
      <c r="CA458" s="65">
        <f>+SUM(AF458:AI458)</f>
        <v>14</v>
      </c>
      <c r="CB458" s="65">
        <f>+SUM(AJ458:AM458)</f>
        <v>1</v>
      </c>
      <c r="CC458" s="65">
        <f>+SUM(AN458:AQ458)</f>
        <v>0</v>
      </c>
      <c r="CD458" s="65">
        <f>+SUM(AR458:AU458)</f>
        <v>0</v>
      </c>
      <c r="CE458" s="65">
        <f>+SUM(AV458:AY458)</f>
        <v>0</v>
      </c>
      <c r="CF458" s="65">
        <f>+SUM(AZ458:BC458)</f>
        <v>0</v>
      </c>
      <c r="CG458" s="65">
        <f>+SUM(BD458:BG458)</f>
        <v>0</v>
      </c>
      <c r="CH458" s="65"/>
      <c r="CI458" s="65"/>
    </row>
    <row r="459" spans="2:89" s="44" customFormat="1" x14ac:dyDescent="0.2">
      <c r="B459" s="110" t="s">
        <v>136</v>
      </c>
      <c r="H459" s="111">
        <f>+H457-H458</f>
        <v>156</v>
      </c>
      <c r="I459" s="111">
        <f t="shared" ref="I459:Y459" si="832">+I457-I458</f>
        <v>159</v>
      </c>
      <c r="J459" s="111">
        <f t="shared" si="832"/>
        <v>150</v>
      </c>
      <c r="K459" s="111">
        <f t="shared" si="832"/>
        <v>205</v>
      </c>
      <c r="L459" s="111">
        <f t="shared" si="832"/>
        <v>184</v>
      </c>
      <c r="M459" s="111">
        <f t="shared" si="832"/>
        <v>-157</v>
      </c>
      <c r="N459" s="111">
        <f t="shared" si="832"/>
        <v>-59</v>
      </c>
      <c r="O459" s="111">
        <f t="shared" si="832"/>
        <v>64</v>
      </c>
      <c r="P459" s="111">
        <f t="shared" si="832"/>
        <v>217</v>
      </c>
      <c r="Q459" s="111">
        <f t="shared" si="832"/>
        <v>331</v>
      </c>
      <c r="R459" s="111">
        <f t="shared" si="832"/>
        <v>422</v>
      </c>
      <c r="S459" s="111">
        <f t="shared" si="832"/>
        <v>526</v>
      </c>
      <c r="T459" s="111">
        <f t="shared" si="832"/>
        <v>639</v>
      </c>
      <c r="U459" s="111">
        <f t="shared" si="832"/>
        <v>788</v>
      </c>
      <c r="V459" s="111">
        <f t="shared" si="832"/>
        <v>802</v>
      </c>
      <c r="W459" s="111">
        <f t="shared" si="832"/>
        <v>696</v>
      </c>
      <c r="X459" s="111">
        <f t="shared" si="832"/>
        <v>509</v>
      </c>
      <c r="Y459" s="111">
        <f t="shared" si="832"/>
        <v>723</v>
      </c>
      <c r="Z459" s="111">
        <f>+Z457-Z458</f>
        <v>891</v>
      </c>
      <c r="AA459" s="111">
        <f t="shared" ref="AA459:CB459" si="833">+AA457-AA458</f>
        <v>1555</v>
      </c>
      <c r="AB459" s="111">
        <f t="shared" si="833"/>
        <v>1732</v>
      </c>
      <c r="AC459" s="111">
        <f t="shared" si="833"/>
        <v>2276</v>
      </c>
      <c r="AD459" s="111">
        <f t="shared" si="833"/>
        <v>2620</v>
      </c>
      <c r="AE459" s="111">
        <f t="shared" si="833"/>
        <v>3561</v>
      </c>
      <c r="AF459" s="111">
        <f t="shared" si="833"/>
        <v>3059</v>
      </c>
      <c r="AG459" s="111">
        <f t="shared" si="833"/>
        <v>3890</v>
      </c>
      <c r="AH459" s="111">
        <f t="shared" si="833"/>
        <v>4704</v>
      </c>
      <c r="AI459" s="111">
        <f t="shared" si="833"/>
        <v>4265</v>
      </c>
      <c r="AJ459" s="111">
        <f t="shared" si="833"/>
        <v>4987</v>
      </c>
      <c r="AK459" s="111">
        <f t="shared" si="833"/>
        <v>5106</v>
      </c>
      <c r="AL459" s="111">
        <f t="shared" si="833"/>
        <v>5137</v>
      </c>
      <c r="AM459" s="111">
        <f t="shared" si="833"/>
        <v>6882</v>
      </c>
      <c r="AN459" s="111">
        <f t="shared" si="833"/>
        <v>2429</v>
      </c>
      <c r="AO459" s="111">
        <f t="shared" si="833"/>
        <v>2616</v>
      </c>
      <c r="AP459" s="111">
        <f t="shared" si="833"/>
        <v>6091</v>
      </c>
      <c r="AQ459" s="111">
        <f t="shared" si="833"/>
        <v>7349</v>
      </c>
      <c r="AR459" s="111">
        <f t="shared" si="833"/>
        <v>4902</v>
      </c>
      <c r="AS459" s="111">
        <f t="shared" si="833"/>
        <v>5178</v>
      </c>
      <c r="AT459" s="111">
        <f t="shared" si="833"/>
        <v>7846</v>
      </c>
      <c r="AU459" s="111">
        <f t="shared" ref="AU459:AZ459" si="834">+AU457-AU458</f>
        <v>11219</v>
      </c>
      <c r="AV459" s="111">
        <f t="shared" si="834"/>
        <v>9497</v>
      </c>
      <c r="AW459" s="111">
        <f t="shared" si="834"/>
        <v>10394</v>
      </c>
      <c r="AX459" s="111">
        <f t="shared" si="834"/>
        <v>9198</v>
      </c>
      <c r="AY459" s="111">
        <f t="shared" si="834"/>
        <v>10285</v>
      </c>
      <c r="AZ459" s="111">
        <f t="shared" si="834"/>
        <v>7465</v>
      </c>
      <c r="BA459" s="111">
        <f t="shared" ref="BA459:BI459" si="835">+BA457-BA458</f>
        <v>6687</v>
      </c>
      <c r="BB459" s="111">
        <f t="shared" si="835"/>
        <v>4395</v>
      </c>
      <c r="BC459" s="111">
        <f t="shared" si="835"/>
        <v>4652</v>
      </c>
      <c r="BD459" s="111">
        <f t="shared" si="835"/>
        <v>5709</v>
      </c>
      <c r="BE459" s="111">
        <f t="shared" si="835"/>
        <v>7788</v>
      </c>
      <c r="BF459" s="111">
        <f t="shared" si="835"/>
        <v>11583</v>
      </c>
      <c r="BG459" s="111">
        <f t="shared" si="835"/>
        <v>14017</v>
      </c>
      <c r="BH459" s="111">
        <f t="shared" si="835"/>
        <v>12369</v>
      </c>
      <c r="BI459" s="111">
        <f t="shared" si="835"/>
        <v>13465</v>
      </c>
      <c r="BJ459" s="111">
        <f t="shared" ref="BJ459" si="836">+BJ457-BJ458</f>
        <v>15688</v>
      </c>
      <c r="BK459" s="111"/>
      <c r="BL459" s="111"/>
      <c r="BM459" s="111"/>
      <c r="BN459" s="111"/>
      <c r="BO459" s="111"/>
      <c r="BQ459" s="111">
        <f t="shared" si="833"/>
        <v>-138</v>
      </c>
      <c r="BR459" s="111">
        <f t="shared" si="833"/>
        <v>-56</v>
      </c>
      <c r="BS459" s="111">
        <f t="shared" si="833"/>
        <v>122</v>
      </c>
      <c r="BT459" s="111">
        <f t="shared" si="833"/>
        <v>372</v>
      </c>
      <c r="BU459" s="111">
        <f t="shared" si="833"/>
        <v>670</v>
      </c>
      <c r="BV459" s="111">
        <f t="shared" si="833"/>
        <v>32</v>
      </c>
      <c r="BW459" s="111">
        <f t="shared" si="833"/>
        <v>1496</v>
      </c>
      <c r="BX459" s="111">
        <f t="shared" si="833"/>
        <v>2925</v>
      </c>
      <c r="BY459" s="111">
        <f t="shared" si="833"/>
        <v>3678</v>
      </c>
      <c r="BZ459" s="111">
        <f t="shared" si="833"/>
        <v>10189</v>
      </c>
      <c r="CA459" s="111">
        <f t="shared" si="833"/>
        <v>15918</v>
      </c>
      <c r="CB459" s="111">
        <f t="shared" si="833"/>
        <v>22112</v>
      </c>
      <c r="CC459" s="111">
        <f>+SUM(AN459:AQ459)</f>
        <v>18485</v>
      </c>
      <c r="CD459" s="111">
        <f>+SUM(AR459:AU459)</f>
        <v>29145</v>
      </c>
      <c r="CE459" s="111">
        <f>+SUM(AV459:AY459)</f>
        <v>39374</v>
      </c>
      <c r="CF459" s="111">
        <f>+SUM(AZ459:BC459)</f>
        <v>23199</v>
      </c>
      <c r="CG459" s="111">
        <f>+SUM(BD459:BG459)</f>
        <v>39097</v>
      </c>
      <c r="CH459" s="111"/>
      <c r="CI459" s="111"/>
    </row>
    <row r="460" spans="2:89" x14ac:dyDescent="0.2">
      <c r="B460" s="101" t="s">
        <v>17</v>
      </c>
      <c r="C460" s="99"/>
      <c r="D460" s="99"/>
      <c r="E460" s="99"/>
      <c r="F460" s="99"/>
      <c r="G460" s="99"/>
      <c r="H460" s="99"/>
      <c r="I460" s="99"/>
      <c r="J460" s="99"/>
      <c r="K460" s="99"/>
      <c r="L460" s="106">
        <f t="shared" ref="L460:BJ460" si="837">+L459/H459-1</f>
        <v>0.17948717948717952</v>
      </c>
      <c r="M460" s="106">
        <f t="shared" si="837"/>
        <v>-1.9874213836477987</v>
      </c>
      <c r="N460" s="106">
        <f t="shared" si="837"/>
        <v>-1.3933333333333333</v>
      </c>
      <c r="O460" s="106">
        <f t="shared" si="837"/>
        <v>-0.68780487804878043</v>
      </c>
      <c r="P460" s="106">
        <f t="shared" si="837"/>
        <v>0.17934782608695654</v>
      </c>
      <c r="Q460" s="106">
        <f t="shared" si="837"/>
        <v>-3.1082802547770703</v>
      </c>
      <c r="R460" s="106">
        <f t="shared" si="837"/>
        <v>-8.1525423728813564</v>
      </c>
      <c r="S460" s="106">
        <f t="shared" si="837"/>
        <v>7.21875</v>
      </c>
      <c r="T460" s="106">
        <f t="shared" si="837"/>
        <v>1.9447004608294929</v>
      </c>
      <c r="U460" s="106">
        <f t="shared" si="837"/>
        <v>1.380664652567976</v>
      </c>
      <c r="V460" s="106">
        <f t="shared" si="837"/>
        <v>0.90047393364928907</v>
      </c>
      <c r="W460" s="106">
        <f t="shared" si="837"/>
        <v>0.32319391634980987</v>
      </c>
      <c r="X460" s="106">
        <f t="shared" si="837"/>
        <v>-0.20344287949921758</v>
      </c>
      <c r="Y460" s="106">
        <f t="shared" si="837"/>
        <v>-8.2487309644670104E-2</v>
      </c>
      <c r="Z460" s="106">
        <f t="shared" si="837"/>
        <v>0.11097256857855364</v>
      </c>
      <c r="AA460" s="106">
        <f t="shared" si="837"/>
        <v>1.2341954022988504</v>
      </c>
      <c r="AB460" s="106">
        <f t="shared" si="837"/>
        <v>2.4027504911591357</v>
      </c>
      <c r="AC460" s="106">
        <f t="shared" si="837"/>
        <v>2.1479944674965421</v>
      </c>
      <c r="AD460" s="106">
        <f t="shared" si="837"/>
        <v>1.9405162738496071</v>
      </c>
      <c r="AE460" s="106">
        <f t="shared" si="837"/>
        <v>1.2900321543408362</v>
      </c>
      <c r="AF460" s="106">
        <f t="shared" si="837"/>
        <v>0.76616628175519641</v>
      </c>
      <c r="AG460" s="106">
        <f t="shared" si="837"/>
        <v>0.7091388400702987</v>
      </c>
      <c r="AH460" s="106">
        <f t="shared" si="837"/>
        <v>0.79541984732824433</v>
      </c>
      <c r="AI460" s="106">
        <f t="shared" si="837"/>
        <v>0.19769727604605447</v>
      </c>
      <c r="AJ460" s="106">
        <f t="shared" si="837"/>
        <v>0.63027133050016348</v>
      </c>
      <c r="AK460" s="106">
        <f t="shared" si="837"/>
        <v>0.31259640102827757</v>
      </c>
      <c r="AL460" s="106">
        <f t="shared" si="837"/>
        <v>9.2049319727891099E-2</v>
      </c>
      <c r="AM460" s="106">
        <f t="shared" si="837"/>
        <v>0.61359906213364601</v>
      </c>
      <c r="AN460" s="106">
        <f t="shared" si="837"/>
        <v>-0.51293362743132143</v>
      </c>
      <c r="AO460" s="106">
        <f t="shared" si="837"/>
        <v>-0.48766157461809634</v>
      </c>
      <c r="AP460" s="106">
        <f t="shared" si="837"/>
        <v>0.18571150476932052</v>
      </c>
      <c r="AQ460" s="106">
        <f t="shared" si="837"/>
        <v>6.7858180761406484E-2</v>
      </c>
      <c r="AR460" s="106">
        <f t="shared" si="837"/>
        <v>1.0181144503911073</v>
      </c>
      <c r="AS460" s="106">
        <f t="shared" si="837"/>
        <v>0.97935779816513757</v>
      </c>
      <c r="AT460" s="106">
        <f t="shared" si="837"/>
        <v>0.28813002791003117</v>
      </c>
      <c r="AU460" s="106">
        <f t="shared" si="837"/>
        <v>0.52660225881072265</v>
      </c>
      <c r="AV460" s="106">
        <f t="shared" si="837"/>
        <v>0.93737250101999181</v>
      </c>
      <c r="AW460" s="106">
        <f t="shared" si="837"/>
        <v>1.0073387408265742</v>
      </c>
      <c r="AX460" s="106">
        <f t="shared" si="837"/>
        <v>0.17231710425694624</v>
      </c>
      <c r="AY460" s="106">
        <f t="shared" si="837"/>
        <v>-8.3251626704697435E-2</v>
      </c>
      <c r="AZ460" s="106">
        <f t="shared" si="837"/>
        <v>-0.21396230388543747</v>
      </c>
      <c r="BA460" s="106">
        <f t="shared" si="837"/>
        <v>-0.35664806619203382</v>
      </c>
      <c r="BB460" s="106">
        <f t="shared" si="837"/>
        <v>-0.52217873450750163</v>
      </c>
      <c r="BC460" s="106">
        <f t="shared" si="837"/>
        <v>-0.5476908118619348</v>
      </c>
      <c r="BD460" s="106">
        <f t="shared" si="837"/>
        <v>-0.23523107836570667</v>
      </c>
      <c r="BE460" s="106">
        <f t="shared" si="837"/>
        <v>0.16464782413638401</v>
      </c>
      <c r="BF460" s="106">
        <f t="shared" si="837"/>
        <v>1.6354948805460752</v>
      </c>
      <c r="BG460" s="106">
        <f t="shared" si="837"/>
        <v>2.0131126397248496</v>
      </c>
      <c r="BH460" s="106">
        <f t="shared" si="837"/>
        <v>1.16657908565423</v>
      </c>
      <c r="BI460" s="106">
        <f t="shared" si="837"/>
        <v>0.72894196199280947</v>
      </c>
      <c r="BJ460" s="106">
        <f t="shared" si="837"/>
        <v>0.3543986877320211</v>
      </c>
      <c r="BK460" s="106"/>
      <c r="BL460" s="106"/>
      <c r="BM460" s="106"/>
      <c r="BN460" s="106"/>
      <c r="BO460" s="106"/>
      <c r="BP460" s="99"/>
      <c r="BQ460" s="99"/>
      <c r="BR460" s="106">
        <f t="shared" ref="BR460:CG460" si="838">+BR459/BQ459-1</f>
        <v>-0.59420289855072461</v>
      </c>
      <c r="BS460" s="106">
        <f t="shared" si="838"/>
        <v>-3.1785714285714284</v>
      </c>
      <c r="BT460" s="106">
        <f t="shared" si="838"/>
        <v>2.0491803278688523</v>
      </c>
      <c r="BU460" s="106">
        <f t="shared" si="838"/>
        <v>0.80107526881720426</v>
      </c>
      <c r="BV460" s="106">
        <f t="shared" si="838"/>
        <v>-0.9522388059701492</v>
      </c>
      <c r="BW460" s="106">
        <f t="shared" si="838"/>
        <v>45.75</v>
      </c>
      <c r="BX460" s="106">
        <f t="shared" si="838"/>
        <v>0.95521390374331561</v>
      </c>
      <c r="BY460" s="106">
        <f t="shared" si="838"/>
        <v>0.25743589743589745</v>
      </c>
      <c r="BZ460" s="106">
        <f t="shared" si="838"/>
        <v>1.7702555736813483</v>
      </c>
      <c r="CA460" s="106">
        <f t="shared" si="838"/>
        <v>0.56227303955245844</v>
      </c>
      <c r="CB460" s="106">
        <f t="shared" si="838"/>
        <v>0.38911923608493537</v>
      </c>
      <c r="CC460" s="106">
        <f t="shared" si="838"/>
        <v>-0.16402858176555712</v>
      </c>
      <c r="CD460" s="106">
        <f t="shared" si="838"/>
        <v>0.57668379767378952</v>
      </c>
      <c r="CE460" s="106">
        <f t="shared" si="838"/>
        <v>0.35096929147366618</v>
      </c>
      <c r="CF460" s="106">
        <f t="shared" si="838"/>
        <v>-0.41080408391324219</v>
      </c>
      <c r="CG460" s="106">
        <f t="shared" si="838"/>
        <v>0.68528815897236939</v>
      </c>
      <c r="CH460" s="106"/>
      <c r="CI460" s="106"/>
    </row>
    <row r="461" spans="2:89" x14ac:dyDescent="0.2">
      <c r="B461" s="60"/>
      <c r="C461" s="76"/>
      <c r="D461" s="76"/>
      <c r="E461" s="76"/>
      <c r="F461" s="76"/>
      <c r="G461" s="76"/>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c r="BJ461" s="57"/>
      <c r="BK461" s="57"/>
      <c r="BL461" s="57"/>
      <c r="BM461" s="57"/>
      <c r="BN461" s="57"/>
      <c r="BO461" s="57"/>
    </row>
    <row r="462" spans="2:89" x14ac:dyDescent="0.2">
      <c r="B462" t="s">
        <v>137</v>
      </c>
      <c r="H462" s="88">
        <f t="shared" ref="H462:Y462" si="839">+H459/H466</f>
        <v>0.12560386473429952</v>
      </c>
      <c r="I462" s="88">
        <f t="shared" si="839"/>
        <v>0.12306501547987617</v>
      </c>
      <c r="J462" s="88">
        <f t="shared" si="839"/>
        <v>0.11398176291793313</v>
      </c>
      <c r="K462" s="88">
        <f t="shared" si="839"/>
        <v>0.15471698113207547</v>
      </c>
      <c r="L462" s="88">
        <f t="shared" si="839"/>
        <v>0.13659985152190052</v>
      </c>
      <c r="M462" s="88">
        <f t="shared" si="839"/>
        <v>-8.3555082490686536E-2</v>
      </c>
      <c r="N462" s="88">
        <f t="shared" si="839"/>
        <v>-2.4380165289256198E-2</v>
      </c>
      <c r="O462" s="88">
        <f t="shared" si="839"/>
        <v>2.7027027027027029E-2</v>
      </c>
      <c r="P462" s="88">
        <f t="shared" si="839"/>
        <v>9.0947191953059517E-2</v>
      </c>
      <c r="Q462" s="88">
        <f t="shared" si="839"/>
        <v>0.13751557955961777</v>
      </c>
      <c r="R462" s="88">
        <f t="shared" si="839"/>
        <v>0.17366255144032922</v>
      </c>
      <c r="S462" s="88">
        <f t="shared" si="839"/>
        <v>0.21399511798209928</v>
      </c>
      <c r="T462" s="88">
        <f t="shared" si="839"/>
        <v>0.25108055009823183</v>
      </c>
      <c r="U462" s="88">
        <f t="shared" si="839"/>
        <v>0.30781249999999999</v>
      </c>
      <c r="V462" s="88">
        <f t="shared" si="839"/>
        <v>0.31001159644375725</v>
      </c>
      <c r="W462" s="88">
        <f t="shared" si="839"/>
        <v>0.25208257877580587</v>
      </c>
      <c r="X462" s="88">
        <f t="shared" si="839"/>
        <v>0.18283045977011494</v>
      </c>
      <c r="Y462" s="88">
        <f t="shared" si="839"/>
        <v>0.25858369098712447</v>
      </c>
      <c r="Z462" s="88">
        <f>+Z459/Z466</f>
        <v>0.31730769230769229</v>
      </c>
      <c r="AA462" s="88">
        <f t="shared" ref="AA462:AT462" si="840">+AA459/AA466</f>
        <v>0.55044247787610623</v>
      </c>
      <c r="AB462" s="88">
        <f t="shared" si="840"/>
        <v>0.60921561730566298</v>
      </c>
      <c r="AC462" s="88">
        <f t="shared" si="840"/>
        <v>0.79691876750700286</v>
      </c>
      <c r="AD462" s="88">
        <f t="shared" si="840"/>
        <v>0.91257401602229193</v>
      </c>
      <c r="AE462" s="88">
        <f t="shared" si="840"/>
        <v>1.2356002775850103</v>
      </c>
      <c r="AF462" s="88">
        <f t="shared" si="840"/>
        <v>1.0581113801452784</v>
      </c>
      <c r="AG462" s="88">
        <f t="shared" si="840"/>
        <v>1.3413793103448275</v>
      </c>
      <c r="AH462" s="88">
        <f t="shared" si="840"/>
        <v>1.6198347107438016</v>
      </c>
      <c r="AI462" s="88">
        <f t="shared" si="840"/>
        <v>1.4671482628138974</v>
      </c>
      <c r="AJ462" s="88">
        <f t="shared" si="840"/>
        <v>1.7161046111493461</v>
      </c>
      <c r="AK462" s="88">
        <f t="shared" si="840"/>
        <v>1.7637305699481864</v>
      </c>
      <c r="AL462" s="88">
        <f t="shared" si="840"/>
        <v>1.7805892547660311</v>
      </c>
      <c r="AM462" s="88">
        <f t="shared" si="840"/>
        <v>2.3962395543175488</v>
      </c>
      <c r="AN462" s="88">
        <f t="shared" si="840"/>
        <v>0.85049019607843135</v>
      </c>
      <c r="AO462" s="88">
        <f t="shared" si="840"/>
        <v>0.91628721541155866</v>
      </c>
      <c r="AP462" s="88">
        <f t="shared" si="840"/>
        <v>2.1341976173791171</v>
      </c>
      <c r="AQ462" s="88">
        <f t="shared" si="840"/>
        <v>2.5758850332982823</v>
      </c>
      <c r="AR462" s="88">
        <f t="shared" si="840"/>
        <v>1.7193967029112591</v>
      </c>
      <c r="AS462" s="88">
        <f t="shared" si="840"/>
        <v>1.8168421052631578</v>
      </c>
      <c r="AT462" s="88">
        <f t="shared" si="840"/>
        <v>2.7529824561403511</v>
      </c>
      <c r="AU462" s="88">
        <f t="shared" ref="AU462:AZ462" si="841">+AU459/AU466</f>
        <v>3.9364912280701754</v>
      </c>
      <c r="AV462" s="88">
        <f t="shared" si="841"/>
        <v>3.335792061819459</v>
      </c>
      <c r="AW462" s="88">
        <f t="shared" si="841"/>
        <v>3.667607621736062</v>
      </c>
      <c r="AX462" s="88">
        <f t="shared" si="841"/>
        <v>3.2686567164179103</v>
      </c>
      <c r="AY462" s="88">
        <f t="shared" si="841"/>
        <v>3.7197106690777577</v>
      </c>
      <c r="AZ462" s="88">
        <f t="shared" si="841"/>
        <v>2.7394495412844035</v>
      </c>
      <c r="BA462" s="88">
        <f t="shared" ref="BA462:BI462" si="842">+BA459/BA466</f>
        <v>2.4730029585798818</v>
      </c>
      <c r="BB462" s="88">
        <f t="shared" si="842"/>
        <v>1.638702460850112</v>
      </c>
      <c r="BC462" s="88">
        <f t="shared" si="842"/>
        <v>1.7634571645185746</v>
      </c>
      <c r="BD462" s="88">
        <f t="shared" si="842"/>
        <v>2.206803247004252</v>
      </c>
      <c r="BE462" s="88">
        <f t="shared" si="842"/>
        <v>3.0327102803738319</v>
      </c>
      <c r="BF462" s="88">
        <f t="shared" si="842"/>
        <v>4.4965062111801242</v>
      </c>
      <c r="BG462" s="88">
        <f t="shared" si="842"/>
        <v>5.4625876851130162</v>
      </c>
      <c r="BH462" s="88">
        <f t="shared" si="842"/>
        <v>4.8601178781925345</v>
      </c>
      <c r="BI462" s="88">
        <f t="shared" si="842"/>
        <v>5.3137332280978686</v>
      </c>
      <c r="BJ462" s="88">
        <f t="shared" ref="BJ462" si="843">+BJ459/BJ466</f>
        <v>6.2032423882957692</v>
      </c>
      <c r="BK462" s="88"/>
      <c r="BL462" s="88"/>
      <c r="BM462" s="88"/>
      <c r="BN462" s="88"/>
      <c r="BO462" s="88"/>
      <c r="BU462" s="88">
        <f t="shared" ref="BU462:CC462" si="844">+BU459/BU466</f>
        <v>0.51787439613526565</v>
      </c>
      <c r="BV462" s="88">
        <f t="shared" si="844"/>
        <v>1.5972048914399802E-2</v>
      </c>
      <c r="BW462" s="88">
        <f t="shared" si="844"/>
        <v>0.61811796302034916</v>
      </c>
      <c r="BX462" s="88">
        <f t="shared" si="844"/>
        <v>1.1192958959150483</v>
      </c>
      <c r="BY462" s="88">
        <f t="shared" si="844"/>
        <v>1.3120485151163828</v>
      </c>
      <c r="BZ462" s="88">
        <f t="shared" si="844"/>
        <v>3.5588543485853998</v>
      </c>
      <c r="CA462" s="88">
        <f t="shared" si="844"/>
        <v>5.4880193070160317</v>
      </c>
      <c r="CB462" s="88">
        <f t="shared" si="844"/>
        <v>7.6525350406644748</v>
      </c>
      <c r="CC462" s="88">
        <f t="shared" si="844"/>
        <v>6.47687456201822</v>
      </c>
      <c r="CD462" s="88">
        <f>+CD459/CD466</f>
        <v>10.222728867064188</v>
      </c>
      <c r="CE462" s="88">
        <f>+CE459/CE466</f>
        <v>13.987211367673179</v>
      </c>
      <c r="CF462" s="88">
        <f>+CF459/CF466</f>
        <v>8.6337923334573876</v>
      </c>
      <c r="CG462" s="88">
        <f>+CG459/CG466</f>
        <v>15.18919968919969</v>
      </c>
      <c r="CH462" s="88"/>
      <c r="CI462" s="88"/>
    </row>
    <row r="463" spans="2:89" s="44" customFormat="1" x14ac:dyDescent="0.2">
      <c r="B463" s="44" t="s">
        <v>138</v>
      </c>
      <c r="H463" s="114">
        <f t="shared" ref="H463:Y463" si="845">+H459/H467</f>
        <v>0.10483870967741936</v>
      </c>
      <c r="I463" s="114">
        <f t="shared" si="845"/>
        <v>0.10529801324503311</v>
      </c>
      <c r="J463" s="114">
        <f t="shared" si="845"/>
        <v>9.8684210526315791E-2</v>
      </c>
      <c r="K463" s="114">
        <f t="shared" si="845"/>
        <v>0.13495720868992758</v>
      </c>
      <c r="L463" s="114">
        <f t="shared" si="845"/>
        <v>0.10791788856304986</v>
      </c>
      <c r="M463" s="114">
        <f t="shared" si="845"/>
        <v>-8.3555082490686536E-2</v>
      </c>
      <c r="N463" s="114">
        <f t="shared" si="845"/>
        <v>-2.4380165289256198E-2</v>
      </c>
      <c r="O463" s="114">
        <f t="shared" si="845"/>
        <v>2.5538707102952914E-2</v>
      </c>
      <c r="P463" s="114">
        <f t="shared" si="845"/>
        <v>8.683473389355742E-2</v>
      </c>
      <c r="Q463" s="114">
        <f t="shared" si="845"/>
        <v>0.13229416466826538</v>
      </c>
      <c r="R463" s="114">
        <f t="shared" si="845"/>
        <v>0.16693037974683544</v>
      </c>
      <c r="S463" s="114">
        <f t="shared" si="845"/>
        <v>0.20562939796716184</v>
      </c>
      <c r="T463" s="114">
        <f t="shared" si="845"/>
        <v>0.24492142583365273</v>
      </c>
      <c r="U463" s="114">
        <f t="shared" si="845"/>
        <v>0.30133843212237094</v>
      </c>
      <c r="V463" s="114">
        <f t="shared" si="845"/>
        <v>0.30332829046898641</v>
      </c>
      <c r="W463" s="114">
        <f t="shared" si="845"/>
        <v>0.24715909090909091</v>
      </c>
      <c r="X463" s="114">
        <f t="shared" si="845"/>
        <v>0.17947813822284908</v>
      </c>
      <c r="Y463" s="114">
        <f t="shared" si="845"/>
        <v>0.25368421052631579</v>
      </c>
      <c r="Z463" s="114">
        <f>+Z459/Z467</f>
        <v>0.31121201536849458</v>
      </c>
      <c r="AA463" s="114">
        <f t="shared" ref="AA463:AT463" si="846">+AA459/AA467</f>
        <v>0.54030576789437113</v>
      </c>
      <c r="AB463" s="114">
        <f t="shared" si="846"/>
        <v>0.59621342512908782</v>
      </c>
      <c r="AC463" s="114">
        <f t="shared" si="846"/>
        <v>0.77918521054433409</v>
      </c>
      <c r="AD463" s="114">
        <f t="shared" si="846"/>
        <v>0.89389286932787448</v>
      </c>
      <c r="AE463" s="114">
        <f t="shared" si="846"/>
        <v>1.2120490129339687</v>
      </c>
      <c r="AF463" s="114">
        <f t="shared" si="846"/>
        <v>1.0390625</v>
      </c>
      <c r="AG463" s="114">
        <f t="shared" si="846"/>
        <v>1.3181972212809216</v>
      </c>
      <c r="AH463" s="114">
        <f t="shared" si="846"/>
        <v>1.5913396481732069</v>
      </c>
      <c r="AI463" s="114">
        <f t="shared" si="846"/>
        <v>1.4438050101557212</v>
      </c>
      <c r="AJ463" s="114">
        <f t="shared" si="846"/>
        <v>1.6933786078098472</v>
      </c>
      <c r="AK463" s="114">
        <f t="shared" si="846"/>
        <v>1.7426621160409557</v>
      </c>
      <c r="AL463" s="114">
        <f t="shared" si="846"/>
        <v>1.7634740817027119</v>
      </c>
      <c r="AM463" s="114">
        <f t="shared" si="846"/>
        <v>2.3846153846153846</v>
      </c>
      <c r="AN463" s="114">
        <f t="shared" si="846"/>
        <v>0.84663645869640991</v>
      </c>
      <c r="AO463" s="114">
        <f t="shared" si="846"/>
        <v>0.90991304347826085</v>
      </c>
      <c r="AP463" s="114">
        <f t="shared" si="846"/>
        <v>2.1193458594293668</v>
      </c>
      <c r="AQ463" s="114">
        <f t="shared" si="846"/>
        <v>2.559735283873215</v>
      </c>
      <c r="AR463" s="114">
        <f t="shared" si="846"/>
        <v>1.7092050209205021</v>
      </c>
      <c r="AS463" s="114">
        <f t="shared" si="846"/>
        <v>1.7985411601250434</v>
      </c>
      <c r="AT463" s="114">
        <f t="shared" si="846"/>
        <v>2.7139398132134209</v>
      </c>
      <c r="AU463" s="114">
        <f t="shared" ref="AU463:AZ463" si="847">+AU459/AU467</f>
        <v>3.882006920415225</v>
      </c>
      <c r="AV463" s="114">
        <f t="shared" si="847"/>
        <v>3.2952810548230396</v>
      </c>
      <c r="AW463" s="114">
        <f t="shared" si="847"/>
        <v>3.6127911018421965</v>
      </c>
      <c r="AX463" s="114">
        <f t="shared" si="847"/>
        <v>3.217208814270724</v>
      </c>
      <c r="AY463" s="114">
        <f t="shared" si="847"/>
        <v>3.6745266166488033</v>
      </c>
      <c r="AZ463" s="114">
        <f t="shared" si="847"/>
        <v>2.7224653537563821</v>
      </c>
      <c r="BA463" s="114">
        <f t="shared" ref="BA463:BI463" si="848">+BA459/BA467</f>
        <v>2.4647991153704387</v>
      </c>
      <c r="BB463" s="114">
        <f t="shared" si="848"/>
        <v>1.6356531447711202</v>
      </c>
      <c r="BC463" s="114">
        <f t="shared" si="848"/>
        <v>1.7621212121212122</v>
      </c>
      <c r="BD463" s="114">
        <f t="shared" si="848"/>
        <v>2.1991525423728815</v>
      </c>
      <c r="BE463" s="114">
        <f t="shared" si="848"/>
        <v>2.9816232771822357</v>
      </c>
      <c r="BF463" s="114">
        <f t="shared" si="848"/>
        <v>4.3858386974630825</v>
      </c>
      <c r="BG463" s="114">
        <f t="shared" si="848"/>
        <v>5.3296577946768062</v>
      </c>
      <c r="BH463" s="114">
        <f t="shared" si="848"/>
        <v>4.7119999999999997</v>
      </c>
      <c r="BI463" s="114">
        <f t="shared" si="848"/>
        <v>5.1590038314176248</v>
      </c>
      <c r="BJ463" s="114">
        <f t="shared" ref="BJ463" si="849">+BJ459/BJ467</f>
        <v>6.0338461538461541</v>
      </c>
      <c r="BK463" s="114"/>
      <c r="BL463" s="114"/>
      <c r="BM463" s="114"/>
      <c r="BN463" s="114"/>
      <c r="BO463" s="114"/>
      <c r="BU463" s="114">
        <f t="shared" ref="BU463:CC463" si="850">+BU459/BU467</f>
        <v>0.44392910385953288</v>
      </c>
      <c r="BV463" s="114">
        <f t="shared" si="850"/>
        <v>1.5041128084606345E-2</v>
      </c>
      <c r="BW463" s="114">
        <f t="shared" si="850"/>
        <v>0.59323882224645585</v>
      </c>
      <c r="BX463" s="114">
        <f t="shared" si="850"/>
        <v>1.0950954698614752</v>
      </c>
      <c r="BY463" s="114">
        <f t="shared" si="850"/>
        <v>1.2874770280913626</v>
      </c>
      <c r="BZ463" s="114">
        <f t="shared" si="850"/>
        <v>3.4849080803762291</v>
      </c>
      <c r="CA463" s="114">
        <f t="shared" si="850"/>
        <v>5.3936467598475222</v>
      </c>
      <c r="CB463" s="114">
        <f t="shared" si="850"/>
        <v>7.5764947747130371</v>
      </c>
      <c r="CC463" s="114">
        <f t="shared" si="850"/>
        <v>6.4273296244784426</v>
      </c>
      <c r="CD463" s="114">
        <f>+CD459/CD467</f>
        <v>10.091759002770083</v>
      </c>
      <c r="CE463" s="114">
        <f>+CE459/CE467</f>
        <v>13.771948233648128</v>
      </c>
      <c r="CF463" s="114">
        <f>+CF459/CF467</f>
        <v>8.5858623242042924</v>
      </c>
      <c r="CG463" s="114">
        <f>+CG459/CG467</f>
        <v>14.871434005325218</v>
      </c>
      <c r="CH463" s="114"/>
      <c r="CI463" s="114"/>
    </row>
    <row r="464" spans="2:89" x14ac:dyDescent="0.2">
      <c r="B464" s="60" t="s">
        <v>17</v>
      </c>
      <c r="C464" s="99"/>
      <c r="D464" s="99"/>
      <c r="E464" s="99"/>
      <c r="F464" s="99"/>
      <c r="G464" s="99"/>
      <c r="H464" s="99"/>
      <c r="I464" s="99"/>
      <c r="J464" s="99"/>
      <c r="K464" s="99"/>
      <c r="L464" s="106">
        <f t="shared" ref="L464:BJ464" si="851">+L463/H463-1</f>
        <v>2.9370629370629286E-2</v>
      </c>
      <c r="M464" s="106">
        <f t="shared" si="851"/>
        <v>-1.7935105318297904</v>
      </c>
      <c r="N464" s="106">
        <f t="shared" si="851"/>
        <v>-1.2470523415977961</v>
      </c>
      <c r="O464" s="106">
        <f t="shared" si="851"/>
        <v>-0.81076440932007088</v>
      </c>
      <c r="P464" s="106">
        <f t="shared" si="851"/>
        <v>-0.19536292777980768</v>
      </c>
      <c r="Q464" s="106">
        <f t="shared" si="851"/>
        <v>-2.5833167860615962</v>
      </c>
      <c r="R464" s="106">
        <f t="shared" si="851"/>
        <v>-7.8469748980905392</v>
      </c>
      <c r="S464" s="106">
        <f t="shared" si="851"/>
        <v>7.0516761141516806</v>
      </c>
      <c r="T464" s="106">
        <f t="shared" si="851"/>
        <v>1.8205467426649684</v>
      </c>
      <c r="U464" s="106">
        <f t="shared" si="851"/>
        <v>1.277790807160641</v>
      </c>
      <c r="V464" s="106">
        <f t="shared" si="851"/>
        <v>0.81709459314122657</v>
      </c>
      <c r="W464" s="106">
        <f t="shared" si="851"/>
        <v>0.20196379191151048</v>
      </c>
      <c r="X464" s="106">
        <f t="shared" si="851"/>
        <v>-0.26720115395396982</v>
      </c>
      <c r="Y464" s="106">
        <f t="shared" si="851"/>
        <v>-0.15814186481432002</v>
      </c>
      <c r="Z464" s="106">
        <f t="shared" si="851"/>
        <v>2.5990733957979462E-2</v>
      </c>
      <c r="AA464" s="106">
        <f t="shared" si="851"/>
        <v>1.1860647160783753</v>
      </c>
      <c r="AB464" s="106">
        <f t="shared" si="851"/>
        <v>2.3219278461023438</v>
      </c>
      <c r="AC464" s="106">
        <f t="shared" si="851"/>
        <v>2.0714769710253833</v>
      </c>
      <c r="AD464" s="106">
        <f t="shared" si="851"/>
        <v>1.8722954936988829</v>
      </c>
      <c r="AE464" s="106">
        <f t="shared" si="851"/>
        <v>1.2432649898546377</v>
      </c>
      <c r="AF464" s="106">
        <f t="shared" si="851"/>
        <v>0.74276937788683584</v>
      </c>
      <c r="AG464" s="106">
        <f t="shared" si="851"/>
        <v>0.69176365701299303</v>
      </c>
      <c r="AH464" s="106">
        <f t="shared" si="851"/>
        <v>0.78023530870063706</v>
      </c>
      <c r="AI464" s="106">
        <f t="shared" si="851"/>
        <v>0.19121008700856734</v>
      </c>
      <c r="AJ464" s="106">
        <f t="shared" si="851"/>
        <v>0.62971775789218376</v>
      </c>
      <c r="AK464" s="106">
        <f t="shared" si="851"/>
        <v>0.32200408854418017</v>
      </c>
      <c r="AL464" s="106">
        <f t="shared" si="851"/>
        <v>0.10816951222644922</v>
      </c>
      <c r="AM464" s="106">
        <f t="shared" si="851"/>
        <v>0.65161872125529796</v>
      </c>
      <c r="AN464" s="106">
        <f t="shared" si="851"/>
        <v>-0.50003120696592596</v>
      </c>
      <c r="AO464" s="106">
        <f t="shared" si="851"/>
        <v>-0.47786031778470339</v>
      </c>
      <c r="AP464" s="106">
        <f t="shared" si="851"/>
        <v>0.20180153562735947</v>
      </c>
      <c r="AQ464" s="106">
        <f t="shared" si="851"/>
        <v>7.3437377108122481E-2</v>
      </c>
      <c r="AR464" s="106">
        <f t="shared" si="851"/>
        <v>1.0188181165174641</v>
      </c>
      <c r="AS464" s="106">
        <f t="shared" si="851"/>
        <v>0.97660773522916666</v>
      </c>
      <c r="AT464" s="106">
        <f t="shared" si="851"/>
        <v>0.28055541342560697</v>
      </c>
      <c r="AU464" s="106">
        <f t="shared" si="851"/>
        <v>0.51656577337217446</v>
      </c>
      <c r="AV464" s="106">
        <f t="shared" si="851"/>
        <v>0.92796125361739645</v>
      </c>
      <c r="AW464" s="106">
        <f t="shared" si="851"/>
        <v>1.0087341796453617</v>
      </c>
      <c r="AX464" s="106">
        <f t="shared" si="851"/>
        <v>0.18543852689990614</v>
      </c>
      <c r="AY464" s="106">
        <f t="shared" si="851"/>
        <v>-5.3446659941613239E-2</v>
      </c>
      <c r="AZ464" s="106">
        <f t="shared" si="851"/>
        <v>-0.17382908818301646</v>
      </c>
      <c r="BA464" s="106">
        <f t="shared" si="851"/>
        <v>-0.31775764335955814</v>
      </c>
      <c r="BB464" s="106">
        <f t="shared" si="851"/>
        <v>-0.49159248305059444</v>
      </c>
      <c r="BC464" s="106">
        <f t="shared" si="851"/>
        <v>-0.52044946303089223</v>
      </c>
      <c r="BD464" s="106">
        <f t="shared" si="851"/>
        <v>-0.19222019140168234</v>
      </c>
      <c r="BE464" s="106">
        <f t="shared" si="851"/>
        <v>0.20968206235911557</v>
      </c>
      <c r="BF464" s="106">
        <f t="shared" si="851"/>
        <v>1.6813989943306717</v>
      </c>
      <c r="BG464" s="106">
        <f t="shared" si="851"/>
        <v>2.0245693417770352</v>
      </c>
      <c r="BH464" s="106">
        <f t="shared" si="851"/>
        <v>1.1426435452793831</v>
      </c>
      <c r="BI464" s="106">
        <f t="shared" si="851"/>
        <v>0.7302668217338002</v>
      </c>
      <c r="BJ464" s="106">
        <f t="shared" si="851"/>
        <v>0.37575651319241055</v>
      </c>
      <c r="BK464" s="106"/>
      <c r="BL464" s="106"/>
      <c r="BM464" s="106"/>
      <c r="BN464" s="106"/>
      <c r="BO464" s="106"/>
      <c r="BP464" s="99"/>
      <c r="BQ464" s="99"/>
      <c r="BR464" s="106"/>
      <c r="BS464" s="106"/>
      <c r="BT464" s="106"/>
      <c r="BU464" s="106"/>
      <c r="BV464" s="106">
        <f t="shared" ref="BV464:CG464" si="852">+BV463/BU463-1</f>
        <v>-0.96611817528105648</v>
      </c>
      <c r="BW464" s="106">
        <f t="shared" si="852"/>
        <v>38.441112322791717</v>
      </c>
      <c r="BX464" s="106">
        <f t="shared" si="852"/>
        <v>0.84596056224811167</v>
      </c>
      <c r="BY464" s="106">
        <f t="shared" si="852"/>
        <v>0.17567560411351413</v>
      </c>
      <c r="BZ464" s="106">
        <f t="shared" si="852"/>
        <v>1.7067730175679152</v>
      </c>
      <c r="CA464" s="106">
        <f t="shared" si="852"/>
        <v>0.54771564570656528</v>
      </c>
      <c r="CB464" s="106">
        <f t="shared" si="852"/>
        <v>0.40470726246210909</v>
      </c>
      <c r="CC464" s="106">
        <f t="shared" si="852"/>
        <v>-0.15167504029303835</v>
      </c>
      <c r="CD464" s="106">
        <f t="shared" si="852"/>
        <v>0.57013247995492322</v>
      </c>
      <c r="CE464" s="106">
        <f t="shared" si="852"/>
        <v>0.36467272255192307</v>
      </c>
      <c r="CF464" s="106">
        <f t="shared" si="852"/>
        <v>-0.37656879197185777</v>
      </c>
      <c r="CG464" s="106">
        <f t="shared" si="852"/>
        <v>0.73208391234056402</v>
      </c>
      <c r="CH464" s="106"/>
      <c r="CI464" s="106"/>
    </row>
    <row r="465" spans="2:87" x14ac:dyDescent="0.2">
      <c r="B465" s="60"/>
      <c r="C465" s="76"/>
      <c r="D465" s="76"/>
      <c r="E465" s="76"/>
      <c r="F465" s="76"/>
      <c r="G465" s="76"/>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c r="BJ465" s="57"/>
      <c r="BK465" s="57"/>
      <c r="BL465" s="57"/>
      <c r="BM465" s="57"/>
      <c r="BN465" s="57"/>
      <c r="BO465" s="57"/>
    </row>
    <row r="466" spans="2:87" x14ac:dyDescent="0.2">
      <c r="B466" t="s">
        <v>139</v>
      </c>
      <c r="H466" s="81">
        <v>1242</v>
      </c>
      <c r="I466" s="81">
        <v>1292</v>
      </c>
      <c r="J466" s="81">
        <v>1316</v>
      </c>
      <c r="K466" s="81">
        <v>1325</v>
      </c>
      <c r="L466" s="81">
        <v>1347</v>
      </c>
      <c r="M466" s="81">
        <v>1879</v>
      </c>
      <c r="N466" s="81">
        <v>2420</v>
      </c>
      <c r="O466" s="81">
        <v>2368</v>
      </c>
      <c r="P466" s="81">
        <v>2386</v>
      </c>
      <c r="Q466" s="81">
        <v>2407</v>
      </c>
      <c r="R466" s="81">
        <v>2430</v>
      </c>
      <c r="S466" s="81">
        <v>2458</v>
      </c>
      <c r="T466" s="81">
        <v>2545</v>
      </c>
      <c r="U466" s="81">
        <v>2560</v>
      </c>
      <c r="V466" s="81">
        <v>2587</v>
      </c>
      <c r="W466" s="81">
        <v>2761</v>
      </c>
      <c r="X466" s="81">
        <v>2784</v>
      </c>
      <c r="Y466" s="81">
        <v>2796</v>
      </c>
      <c r="Z466" s="81">
        <v>2808</v>
      </c>
      <c r="AA466" s="81">
        <v>2825</v>
      </c>
      <c r="AB466" s="81">
        <v>2843</v>
      </c>
      <c r="AC466" s="81">
        <v>2856</v>
      </c>
      <c r="AD466" s="81">
        <v>2871</v>
      </c>
      <c r="AE466" s="81">
        <v>2882</v>
      </c>
      <c r="AF466" s="81">
        <v>2891</v>
      </c>
      <c r="AG466" s="81">
        <v>2900</v>
      </c>
      <c r="AH466" s="81">
        <v>2904</v>
      </c>
      <c r="AI466" s="81">
        <v>2907</v>
      </c>
      <c r="AJ466" s="81">
        <v>2906</v>
      </c>
      <c r="AK466" s="81">
        <v>2895</v>
      </c>
      <c r="AL466" s="81">
        <v>2885</v>
      </c>
      <c r="AM466" s="81">
        <v>2872</v>
      </c>
      <c r="AN466" s="81">
        <v>2856</v>
      </c>
      <c r="AO466" s="81">
        <v>2855</v>
      </c>
      <c r="AP466" s="81">
        <v>2854</v>
      </c>
      <c r="AQ466" s="81">
        <v>2853</v>
      </c>
      <c r="AR466" s="81">
        <v>2851</v>
      </c>
      <c r="AS466" s="81">
        <v>2850</v>
      </c>
      <c r="AT466" s="81">
        <v>2850</v>
      </c>
      <c r="AU466" s="81">
        <v>2850</v>
      </c>
      <c r="AV466" s="81">
        <v>2847</v>
      </c>
      <c r="AW466" s="81">
        <v>2834</v>
      </c>
      <c r="AX466" s="81">
        <v>2814</v>
      </c>
      <c r="AY466" s="81">
        <v>2765</v>
      </c>
      <c r="AZ466" s="81">
        <v>2725</v>
      </c>
      <c r="BA466" s="81">
        <v>2704</v>
      </c>
      <c r="BB466" s="81">
        <v>2682</v>
      </c>
      <c r="BC466" s="81">
        <v>2638</v>
      </c>
      <c r="BD466" s="81">
        <v>2587</v>
      </c>
      <c r="BE466" s="81">
        <v>2568</v>
      </c>
      <c r="BF466" s="81">
        <v>2576</v>
      </c>
      <c r="BG466" s="81">
        <v>2566</v>
      </c>
      <c r="BH466" s="81">
        <v>2545</v>
      </c>
      <c r="BI466" s="81">
        <v>2534</v>
      </c>
      <c r="BJ466" s="81">
        <v>2529</v>
      </c>
      <c r="BK466" s="81"/>
      <c r="BL466" s="81"/>
      <c r="BM466" s="81"/>
      <c r="BN466" s="81"/>
      <c r="BO466" s="81"/>
      <c r="BU466" s="64">
        <f>+AVERAGE(H466:K466)</f>
        <v>1293.75</v>
      </c>
      <c r="BV466" s="64">
        <f>+AVERAGE(L466:O466)</f>
        <v>2003.5</v>
      </c>
      <c r="BW466" s="64">
        <f>+AVERAGE(P466:S466)</f>
        <v>2420.25</v>
      </c>
      <c r="BX466" s="64">
        <f>+AVERAGE(T466:W466)</f>
        <v>2613.25</v>
      </c>
      <c r="BY466" s="64">
        <f>+AVERAGE(X466:AA466)</f>
        <v>2803.25</v>
      </c>
      <c r="BZ466" s="64">
        <f>+AVERAGE(AB466:AE466)</f>
        <v>2863</v>
      </c>
      <c r="CA466" s="64">
        <f>+AVERAGE(AF466:AI466)</f>
        <v>2900.5</v>
      </c>
      <c r="CB466" s="64">
        <f>+AVERAGE(AJ466:AM466)</f>
        <v>2889.5</v>
      </c>
      <c r="CC466" s="81">
        <v>2854</v>
      </c>
      <c r="CD466" s="81">
        <v>2851</v>
      </c>
      <c r="CE466" s="81">
        <v>2815</v>
      </c>
      <c r="CF466" s="81">
        <v>2687</v>
      </c>
      <c r="CG466" s="81">
        <v>2574</v>
      </c>
      <c r="CH466" s="81"/>
      <c r="CI466" s="81"/>
    </row>
    <row r="467" spans="2:87" x14ac:dyDescent="0.2">
      <c r="B467" t="s">
        <v>140</v>
      </c>
      <c r="H467" s="81">
        <v>1488</v>
      </c>
      <c r="I467" s="81">
        <v>1510</v>
      </c>
      <c r="J467" s="81">
        <v>1520</v>
      </c>
      <c r="K467" s="81">
        <v>1519</v>
      </c>
      <c r="L467" s="81">
        <v>1705</v>
      </c>
      <c r="M467" s="81">
        <v>1879</v>
      </c>
      <c r="N467" s="81">
        <v>2420</v>
      </c>
      <c r="O467" s="81">
        <v>2506</v>
      </c>
      <c r="P467" s="81">
        <v>2499</v>
      </c>
      <c r="Q467" s="81">
        <v>2502</v>
      </c>
      <c r="R467" s="81">
        <v>2528</v>
      </c>
      <c r="S467" s="81">
        <v>2558</v>
      </c>
      <c r="T467" s="81">
        <v>2609</v>
      </c>
      <c r="U467" s="81">
        <v>2615</v>
      </c>
      <c r="V467" s="81">
        <v>2644</v>
      </c>
      <c r="W467" s="81">
        <v>2816</v>
      </c>
      <c r="X467" s="81">
        <v>2836</v>
      </c>
      <c r="Y467" s="81">
        <v>2850</v>
      </c>
      <c r="Z467" s="81">
        <v>2863</v>
      </c>
      <c r="AA467" s="81">
        <v>2878</v>
      </c>
      <c r="AB467" s="81">
        <v>2905</v>
      </c>
      <c r="AC467" s="81">
        <v>2921</v>
      </c>
      <c r="AD467" s="81">
        <v>2931</v>
      </c>
      <c r="AE467" s="81">
        <v>2938</v>
      </c>
      <c r="AF467" s="81">
        <v>2944</v>
      </c>
      <c r="AG467" s="81">
        <v>2951</v>
      </c>
      <c r="AH467" s="81">
        <v>2956</v>
      </c>
      <c r="AI467" s="81">
        <v>2954</v>
      </c>
      <c r="AJ467" s="81">
        <v>2945</v>
      </c>
      <c r="AK467" s="81">
        <v>2930</v>
      </c>
      <c r="AL467" s="81">
        <v>2913</v>
      </c>
      <c r="AM467" s="81">
        <v>2886</v>
      </c>
      <c r="AN467" s="81">
        <v>2869</v>
      </c>
      <c r="AO467" s="81">
        <v>2875</v>
      </c>
      <c r="AP467" s="81">
        <v>2874</v>
      </c>
      <c r="AQ467" s="81">
        <v>2871</v>
      </c>
      <c r="AR467" s="81">
        <v>2868</v>
      </c>
      <c r="AS467" s="81">
        <v>2879</v>
      </c>
      <c r="AT467" s="81">
        <v>2891</v>
      </c>
      <c r="AU467" s="81">
        <v>2890</v>
      </c>
      <c r="AV467" s="81">
        <v>2882</v>
      </c>
      <c r="AW467" s="81">
        <v>2877</v>
      </c>
      <c r="AX467" s="81">
        <v>2859</v>
      </c>
      <c r="AY467" s="81">
        <v>2799</v>
      </c>
      <c r="AZ467" s="81">
        <v>2742</v>
      </c>
      <c r="BA467" s="81">
        <v>2713</v>
      </c>
      <c r="BB467" s="81">
        <v>2687</v>
      </c>
      <c r="BC467" s="81">
        <v>2640</v>
      </c>
      <c r="BD467" s="81">
        <v>2596</v>
      </c>
      <c r="BE467" s="81">
        <v>2612</v>
      </c>
      <c r="BF467" s="81">
        <v>2641</v>
      </c>
      <c r="BG467" s="81">
        <v>2630</v>
      </c>
      <c r="BH467" s="81">
        <v>2625</v>
      </c>
      <c r="BI467" s="81">
        <v>2610</v>
      </c>
      <c r="BJ467" s="81">
        <v>2600</v>
      </c>
      <c r="BK467" s="81"/>
      <c r="BL467" s="81"/>
      <c r="BM467" s="81"/>
      <c r="BN467" s="81"/>
      <c r="BO467" s="81"/>
      <c r="BU467" s="64">
        <f>+AVERAGE(H467:K467)</f>
        <v>1509.25</v>
      </c>
      <c r="BV467" s="64">
        <f>+AVERAGE(L467:O467)</f>
        <v>2127.5</v>
      </c>
      <c r="BW467" s="64">
        <f>+AVERAGE(P467:S467)</f>
        <v>2521.75</v>
      </c>
      <c r="BX467" s="64">
        <f>+AVERAGE(T467:W467)</f>
        <v>2671</v>
      </c>
      <c r="BY467" s="64">
        <f>+AVERAGE(X467:AA467)</f>
        <v>2856.75</v>
      </c>
      <c r="BZ467" s="64">
        <f>+AVERAGE(AB467:AE467)</f>
        <v>2923.75</v>
      </c>
      <c r="CA467" s="64">
        <f>+AVERAGE(AF467:AI467)</f>
        <v>2951.25</v>
      </c>
      <c r="CB467" s="64">
        <f>+AVERAGE(AJ467:AM467)</f>
        <v>2918.5</v>
      </c>
      <c r="CC467" s="81">
        <v>2876</v>
      </c>
      <c r="CD467" s="81">
        <v>2888</v>
      </c>
      <c r="CE467" s="81">
        <v>2859</v>
      </c>
      <c r="CF467" s="81">
        <v>2702</v>
      </c>
      <c r="CG467" s="81">
        <v>2629</v>
      </c>
      <c r="CH467" s="81"/>
      <c r="CI467" s="81"/>
    </row>
    <row r="469" spans="2:87" x14ac:dyDescent="0.2">
      <c r="B469" s="52" t="s">
        <v>141</v>
      </c>
      <c r="C469" s="53"/>
    </row>
    <row r="471" spans="2:87" x14ac:dyDescent="0.2">
      <c r="B471" s="54" t="s">
        <v>238</v>
      </c>
    </row>
    <row r="472" spans="2:87" x14ac:dyDescent="0.2">
      <c r="B472" t="s">
        <v>119</v>
      </c>
      <c r="D472" s="81">
        <v>0</v>
      </c>
      <c r="E472" s="81">
        <v>0</v>
      </c>
      <c r="F472" s="81">
        <v>0</v>
      </c>
      <c r="G472" s="81">
        <v>0</v>
      </c>
      <c r="H472" s="81">
        <v>0</v>
      </c>
      <c r="I472" s="81">
        <v>3</v>
      </c>
      <c r="J472" s="81">
        <v>3</v>
      </c>
      <c r="K472" s="81">
        <v>3</v>
      </c>
      <c r="L472" s="81">
        <v>5</v>
      </c>
      <c r="M472" s="81">
        <v>66</v>
      </c>
      <c r="N472" s="81">
        <v>8</v>
      </c>
      <c r="O472" s="81">
        <v>9</v>
      </c>
      <c r="P472" s="81">
        <v>8</v>
      </c>
      <c r="Q472" s="81">
        <v>11</v>
      </c>
      <c r="R472" s="81">
        <v>12</v>
      </c>
      <c r="S472" s="81">
        <v>11</v>
      </c>
      <c r="T472" s="81">
        <v>12</v>
      </c>
      <c r="U472" s="81">
        <v>16</v>
      </c>
      <c r="V472" s="81">
        <v>16</v>
      </c>
      <c r="W472" s="81">
        <v>18</v>
      </c>
      <c r="X472" s="81">
        <v>17</v>
      </c>
      <c r="Y472" s="81">
        <v>21</v>
      </c>
      <c r="Z472" s="81">
        <v>21</v>
      </c>
      <c r="AA472" s="81">
        <v>22</v>
      </c>
      <c r="AB472" s="81">
        <v>22</v>
      </c>
      <c r="AC472" s="81">
        <v>29</v>
      </c>
      <c r="AD472" s="81">
        <v>30</v>
      </c>
      <c r="AE472" s="81">
        <v>32</v>
      </c>
      <c r="AF472" s="81">
        <v>34</v>
      </c>
      <c r="AG472" s="81">
        <v>47</v>
      </c>
      <c r="AH472" s="81">
        <v>47</v>
      </c>
      <c r="AI472" s="81">
        <v>50</v>
      </c>
      <c r="AJ472" s="81">
        <v>56</v>
      </c>
      <c r="AK472" s="81">
        <v>74</v>
      </c>
      <c r="AL472" s="81">
        <v>72</v>
      </c>
      <c r="AM472" s="81">
        <v>82</v>
      </c>
      <c r="AN472" s="81">
        <v>87</v>
      </c>
      <c r="AO472" s="81">
        <v>109</v>
      </c>
      <c r="AP472" s="81">
        <v>91</v>
      </c>
      <c r="AQ472" s="81">
        <v>90</v>
      </c>
      <c r="AR472" s="81">
        <v>94</v>
      </c>
      <c r="AS472" s="81">
        <v>117</v>
      </c>
      <c r="AT472" s="81">
        <v>116</v>
      </c>
      <c r="AU472" s="81">
        <v>120</v>
      </c>
      <c r="AV472" s="81">
        <v>118</v>
      </c>
      <c r="AW472" s="81">
        <v>163</v>
      </c>
      <c r="AX472" s="81">
        <v>147</v>
      </c>
      <c r="AY472" s="81">
        <v>149</v>
      </c>
      <c r="AZ472" s="81">
        <v>160</v>
      </c>
      <c r="BA472" s="81">
        <v>213</v>
      </c>
      <c r="BB472" s="81">
        <v>209</v>
      </c>
      <c r="BC472" s="81">
        <v>186</v>
      </c>
      <c r="BD472" s="81">
        <v>160</v>
      </c>
      <c r="BE472" s="81">
        <v>193</v>
      </c>
      <c r="BF472" s="81"/>
      <c r="BG472" s="81"/>
      <c r="BH472" s="81"/>
      <c r="BI472" s="81"/>
      <c r="BJ472" s="81"/>
      <c r="BK472" s="81"/>
      <c r="BL472" s="81"/>
      <c r="BM472" s="81"/>
      <c r="BN472" s="81"/>
      <c r="BO472" s="81"/>
      <c r="BQ472" s="81">
        <v>1</v>
      </c>
      <c r="BR472" s="81">
        <v>0</v>
      </c>
      <c r="BS472" s="81">
        <v>0</v>
      </c>
      <c r="BT472" s="81">
        <v>0</v>
      </c>
      <c r="BU472" s="64">
        <f>+SUM(H472:K472)</f>
        <v>9</v>
      </c>
      <c r="BV472" s="64">
        <f>+SUM(L472:O472)</f>
        <v>88</v>
      </c>
      <c r="BW472" s="64">
        <f>+SUM(P472:S472)</f>
        <v>42</v>
      </c>
      <c r="BX472" s="64">
        <f>+SUM(T472:W472)</f>
        <v>62</v>
      </c>
      <c r="BY472" s="64">
        <f>+SUM(X472:AA472)</f>
        <v>81</v>
      </c>
      <c r="BZ472" s="64">
        <f>+SUM(AB472:AE472)</f>
        <v>113</v>
      </c>
      <c r="CA472" s="64">
        <f>+SUM(AF472:AI472)</f>
        <v>178</v>
      </c>
      <c r="CB472" s="64">
        <f>+SUM(AJ472:AM472)</f>
        <v>284</v>
      </c>
      <c r="CC472" s="64">
        <f>+SUM(AN472:AQ472)</f>
        <v>377</v>
      </c>
      <c r="CD472" s="64">
        <f>+SUM(AR472:AU472)</f>
        <v>447</v>
      </c>
      <c r="CE472" s="64">
        <f>+SUM(AV472:AY472)</f>
        <v>577</v>
      </c>
      <c r="CF472" s="64">
        <f>+SUM(AZ472:BC472)</f>
        <v>768</v>
      </c>
      <c r="CG472" s="64">
        <f>+SUM(BD472:BG472)</f>
        <v>353</v>
      </c>
      <c r="CH472" s="64"/>
      <c r="CI472" s="64"/>
    </row>
    <row r="473" spans="2:87" x14ac:dyDescent="0.2">
      <c r="B473" t="s">
        <v>121</v>
      </c>
      <c r="D473" s="81">
        <v>2</v>
      </c>
      <c r="E473" s="81">
        <v>2</v>
      </c>
      <c r="F473" s="81">
        <v>2</v>
      </c>
      <c r="G473" s="81">
        <v>3</v>
      </c>
      <c r="H473" s="81">
        <v>4</v>
      </c>
      <c r="I473" s="81">
        <v>35</v>
      </c>
      <c r="J473" s="81">
        <v>33</v>
      </c>
      <c r="K473" s="81">
        <v>42</v>
      </c>
      <c r="L473" s="81">
        <v>60</v>
      </c>
      <c r="M473" s="81">
        <v>545</v>
      </c>
      <c r="N473" s="81">
        <v>114</v>
      </c>
      <c r="O473" s="81">
        <v>124</v>
      </c>
      <c r="P473" s="81">
        <v>117</v>
      </c>
      <c r="Q473" s="81">
        <v>151</v>
      </c>
      <c r="R473" s="81">
        <v>164</v>
      </c>
      <c r="S473" s="81">
        <v>172</v>
      </c>
      <c r="T473" s="81">
        <v>181</v>
      </c>
      <c r="U473" s="81">
        <v>219</v>
      </c>
      <c r="V473" s="81">
        <v>243</v>
      </c>
      <c r="W473" s="81">
        <v>685</v>
      </c>
      <c r="X473" s="81">
        <v>566</v>
      </c>
      <c r="Y473" s="81">
        <v>603</v>
      </c>
      <c r="Z473" s="81">
        <v>598</v>
      </c>
      <c r="AA473" s="81">
        <v>583</v>
      </c>
      <c r="AB473" s="81">
        <v>586</v>
      </c>
      <c r="AC473" s="81">
        <v>631</v>
      </c>
      <c r="AD473" s="81">
        <v>636</v>
      </c>
      <c r="AE473" s="81">
        <v>641</v>
      </c>
      <c r="AF473" s="81">
        <v>670</v>
      </c>
      <c r="AG473" s="81">
        <v>787</v>
      </c>
      <c r="AH473" s="81">
        <v>776</v>
      </c>
      <c r="AI473" s="81">
        <v>587</v>
      </c>
      <c r="AJ473" s="81">
        <v>718</v>
      </c>
      <c r="AK473" s="81">
        <v>881</v>
      </c>
      <c r="AL473" s="81">
        <v>748</v>
      </c>
      <c r="AM473" s="81">
        <v>675</v>
      </c>
      <c r="AN473" s="81">
        <v>723</v>
      </c>
      <c r="AO473" s="81">
        <v>927</v>
      </c>
      <c r="AP473" s="81">
        <v>907</v>
      </c>
      <c r="AQ473" s="81">
        <v>931</v>
      </c>
      <c r="AR473" s="81">
        <v>999</v>
      </c>
      <c r="AS473" s="81">
        <v>1261</v>
      </c>
      <c r="AT473" s="81">
        <v>1297</v>
      </c>
      <c r="AU473" s="81">
        <v>1361</v>
      </c>
      <c r="AV473" s="81">
        <v>1408</v>
      </c>
      <c r="AW473" s="81">
        <v>1967</v>
      </c>
      <c r="AX473" s="81">
        <v>1849</v>
      </c>
      <c r="AY473" s="81">
        <v>1882</v>
      </c>
      <c r="AZ473" s="81">
        <v>1941</v>
      </c>
      <c r="BA473" s="81">
        <v>2606</v>
      </c>
      <c r="BB473" s="81">
        <v>2447</v>
      </c>
      <c r="BC473" s="81">
        <v>2366</v>
      </c>
      <c r="BD473" s="81">
        <v>2449</v>
      </c>
      <c r="BE473" s="81">
        <v>3305</v>
      </c>
      <c r="BF473" s="81"/>
      <c r="BG473" s="81"/>
      <c r="BH473" s="81"/>
      <c r="BI473" s="81"/>
      <c r="BJ473" s="81"/>
      <c r="BK473" s="81"/>
      <c r="BL473" s="81"/>
      <c r="BM473" s="81"/>
      <c r="BN473" s="81"/>
      <c r="BO473" s="81"/>
      <c r="BQ473" s="81">
        <v>56</v>
      </c>
      <c r="BR473" s="81">
        <v>7</v>
      </c>
      <c r="BS473" s="81">
        <v>6</v>
      </c>
      <c r="BT473" s="81">
        <v>9</v>
      </c>
      <c r="BU473" s="64">
        <f>+SUM(H473:K473)</f>
        <v>114</v>
      </c>
      <c r="BV473" s="64">
        <f>+SUM(L473:O473)</f>
        <v>843</v>
      </c>
      <c r="BW473" s="64">
        <f>+SUM(P473:S473)</f>
        <v>604</v>
      </c>
      <c r="BX473" s="64">
        <f>+SUM(T473:W473)</f>
        <v>1328</v>
      </c>
      <c r="BY473" s="64">
        <f>+SUM(X473:AA473)</f>
        <v>2350</v>
      </c>
      <c r="BZ473" s="64">
        <f>+SUM(AB473:AE473)</f>
        <v>2494</v>
      </c>
      <c r="CA473" s="64">
        <f>+SUM(AF473:AI473)</f>
        <v>2820</v>
      </c>
      <c r="CB473" s="64">
        <f>+SUM(AJ473:AM473)</f>
        <v>3022</v>
      </c>
      <c r="CC473" s="64">
        <f>+SUM(AN473:AQ473)</f>
        <v>3488</v>
      </c>
      <c r="CD473" s="64">
        <f>+SUM(AR473:AU473)</f>
        <v>4918</v>
      </c>
      <c r="CE473" s="64">
        <f>+SUM(AV473:AY473)</f>
        <v>7106</v>
      </c>
      <c r="CF473" s="64">
        <f>+SUM(AZ473:BC473)</f>
        <v>9360</v>
      </c>
      <c r="CG473" s="64">
        <f>+SUM(BD473:BG473)</f>
        <v>5754</v>
      </c>
      <c r="CH473" s="64"/>
      <c r="CI473" s="64"/>
    </row>
    <row r="474" spans="2:87" x14ac:dyDescent="0.2">
      <c r="B474" t="s">
        <v>122</v>
      </c>
      <c r="D474" s="81">
        <v>0</v>
      </c>
      <c r="E474" s="81">
        <v>1</v>
      </c>
      <c r="F474" s="81">
        <v>0</v>
      </c>
      <c r="G474" s="81">
        <v>1</v>
      </c>
      <c r="H474" s="81">
        <v>0</v>
      </c>
      <c r="I474" s="81">
        <v>11</v>
      </c>
      <c r="J474" s="81">
        <v>13</v>
      </c>
      <c r="K474" s="81">
        <v>13</v>
      </c>
      <c r="L474" s="81">
        <v>19</v>
      </c>
      <c r="M474" s="81">
        <v>232</v>
      </c>
      <c r="N474" s="81">
        <v>28</v>
      </c>
      <c r="O474" s="81">
        <v>27</v>
      </c>
      <c r="P474" s="81">
        <v>24</v>
      </c>
      <c r="Q474" s="81">
        <v>33</v>
      </c>
      <c r="R474" s="81">
        <v>34</v>
      </c>
      <c r="S474" s="81">
        <v>42</v>
      </c>
      <c r="T474" s="81">
        <v>43</v>
      </c>
      <c r="U474" s="81">
        <v>50</v>
      </c>
      <c r="V474" s="81">
        <v>53</v>
      </c>
      <c r="W474" s="81">
        <v>103</v>
      </c>
      <c r="X474" s="81">
        <v>72</v>
      </c>
      <c r="Y474" s="81">
        <v>82</v>
      </c>
      <c r="Z474" s="81">
        <v>82</v>
      </c>
      <c r="AA474" s="81">
        <v>84</v>
      </c>
      <c r="AB474" s="81">
        <v>82</v>
      </c>
      <c r="AC474" s="81">
        <v>95</v>
      </c>
      <c r="AD474" s="81">
        <v>95</v>
      </c>
      <c r="AE474" s="81">
        <v>96</v>
      </c>
      <c r="AF474" s="81">
        <v>96</v>
      </c>
      <c r="AG474" s="81">
        <v>120</v>
      </c>
      <c r="AH474" s="81">
        <v>114</v>
      </c>
      <c r="AI474" s="81">
        <v>106</v>
      </c>
      <c r="AJ474" s="81">
        <v>109</v>
      </c>
      <c r="AK474" s="81">
        <v>139</v>
      </c>
      <c r="AL474" s="81">
        <v>133</v>
      </c>
      <c r="AM474" s="81">
        <v>131</v>
      </c>
      <c r="AN474" s="81">
        <v>113</v>
      </c>
      <c r="AO474" s="81">
        <v>160</v>
      </c>
      <c r="AP474" s="81">
        <v>148</v>
      </c>
      <c r="AQ474" s="81">
        <v>147</v>
      </c>
      <c r="AR474" s="81">
        <v>149</v>
      </c>
      <c r="AS474" s="81">
        <v>187</v>
      </c>
      <c r="AT474" s="81">
        <v>180</v>
      </c>
      <c r="AU474" s="81">
        <v>175</v>
      </c>
      <c r="AV474" s="81">
        <v>174</v>
      </c>
      <c r="AW474" s="81">
        <v>239</v>
      </c>
      <c r="AX474" s="81">
        <v>218</v>
      </c>
      <c r="AY474" s="81">
        <v>206</v>
      </c>
      <c r="AZ474" s="81">
        <v>216</v>
      </c>
      <c r="BA474" s="81">
        <v>289</v>
      </c>
      <c r="BB474" s="81">
        <v>260</v>
      </c>
      <c r="BC474" s="81">
        <v>239</v>
      </c>
      <c r="BD474" s="81">
        <v>219</v>
      </c>
      <c r="BE474" s="81">
        <v>289</v>
      </c>
      <c r="BF474" s="81"/>
      <c r="BG474" s="81"/>
      <c r="BH474" s="81"/>
      <c r="BI474" s="81"/>
      <c r="BJ474" s="81"/>
      <c r="BK474" s="81"/>
      <c r="BL474" s="81"/>
      <c r="BM474" s="81"/>
      <c r="BN474" s="81"/>
      <c r="BO474" s="81"/>
      <c r="BQ474" s="81">
        <v>3</v>
      </c>
      <c r="BR474" s="81">
        <v>4</v>
      </c>
      <c r="BS474" s="81">
        <v>2</v>
      </c>
      <c r="BT474" s="81">
        <v>2</v>
      </c>
      <c r="BU474" s="64">
        <f>+SUM(H474:K474)</f>
        <v>37</v>
      </c>
      <c r="BV474" s="64">
        <f>+SUM(L474:O474)</f>
        <v>306</v>
      </c>
      <c r="BW474" s="64">
        <f>+SUM(P474:S474)</f>
        <v>133</v>
      </c>
      <c r="BX474" s="64">
        <f>+SUM(T474:W474)</f>
        <v>249</v>
      </c>
      <c r="BY474" s="64">
        <f>+SUM(X474:AA474)</f>
        <v>320</v>
      </c>
      <c r="BZ474" s="64">
        <f>+SUM(AB474:AE474)</f>
        <v>368</v>
      </c>
      <c r="CA474" s="64">
        <f>+SUM(AF474:AI474)</f>
        <v>436</v>
      </c>
      <c r="CB474" s="64">
        <f>+SUM(AJ474:AM474)</f>
        <v>512</v>
      </c>
      <c r="CC474" s="64">
        <f>+SUM(AN474:AQ474)</f>
        <v>568</v>
      </c>
      <c r="CD474" s="64">
        <f>+SUM(AR474:AU474)</f>
        <v>691</v>
      </c>
      <c r="CE474" s="64">
        <f>+SUM(AV474:AY474)</f>
        <v>837</v>
      </c>
      <c r="CF474" s="64">
        <f>+SUM(AZ474:BC474)</f>
        <v>1004</v>
      </c>
      <c r="CG474" s="64">
        <f>+SUM(BD474:BG474)</f>
        <v>508</v>
      </c>
      <c r="CH474" s="64"/>
      <c r="CI474" s="64"/>
    </row>
    <row r="475" spans="2:87" ht="13.5" x14ac:dyDescent="0.35">
      <c r="B475" t="s">
        <v>123</v>
      </c>
      <c r="D475" s="82">
        <v>3</v>
      </c>
      <c r="E475" s="82">
        <v>2</v>
      </c>
      <c r="F475" s="82">
        <v>2</v>
      </c>
      <c r="G475" s="82">
        <v>2</v>
      </c>
      <c r="H475" s="82">
        <v>3</v>
      </c>
      <c r="I475" s="82">
        <v>15</v>
      </c>
      <c r="J475" s="82">
        <v>21</v>
      </c>
      <c r="K475" s="82">
        <v>18</v>
      </c>
      <c r="L475" s="82">
        <v>19</v>
      </c>
      <c r="M475" s="82">
        <v>263</v>
      </c>
      <c r="N475" s="82">
        <v>29</v>
      </c>
      <c r="O475" s="82">
        <v>24</v>
      </c>
      <c r="P475" s="82">
        <v>21</v>
      </c>
      <c r="Q475" s="82">
        <v>29</v>
      </c>
      <c r="R475" s="82">
        <v>29</v>
      </c>
      <c r="S475" s="82">
        <v>48</v>
      </c>
      <c r="T475" s="82">
        <v>38</v>
      </c>
      <c r="U475" s="82">
        <v>29</v>
      </c>
      <c r="V475" s="82">
        <v>41</v>
      </c>
      <c r="W475" s="82">
        <v>90</v>
      </c>
      <c r="X475" s="82">
        <v>48</v>
      </c>
      <c r="Y475" s="82">
        <v>57</v>
      </c>
      <c r="Z475" s="82">
        <v>56</v>
      </c>
      <c r="AA475" s="82">
        <v>57</v>
      </c>
      <c r="AB475" s="82">
        <v>56</v>
      </c>
      <c r="AC475" s="82">
        <v>62</v>
      </c>
      <c r="AD475" s="82">
        <v>63</v>
      </c>
      <c r="AE475" s="82">
        <v>62</v>
      </c>
      <c r="AF475" s="82">
        <v>67</v>
      </c>
      <c r="AG475" s="82">
        <v>78</v>
      </c>
      <c r="AH475" s="82">
        <v>73</v>
      </c>
      <c r="AI475" s="82">
        <v>71</v>
      </c>
      <c r="AJ475" s="82">
        <v>72</v>
      </c>
      <c r="AK475" s="82">
        <v>92</v>
      </c>
      <c r="AL475" s="82">
        <v>87</v>
      </c>
      <c r="AM475" s="82">
        <v>84</v>
      </c>
      <c r="AN475" s="82">
        <v>87</v>
      </c>
      <c r="AO475" s="82">
        <v>107</v>
      </c>
      <c r="AP475" s="82">
        <v>103</v>
      </c>
      <c r="AQ475" s="82">
        <v>105</v>
      </c>
      <c r="AR475" s="82">
        <v>93</v>
      </c>
      <c r="AS475" s="82">
        <v>130</v>
      </c>
      <c r="AT475" s="82">
        <v>129</v>
      </c>
      <c r="AU475" s="82">
        <v>128</v>
      </c>
      <c r="AV475" s="82">
        <v>130</v>
      </c>
      <c r="AW475" s="82">
        <v>179</v>
      </c>
      <c r="AX475" s="82">
        <v>165</v>
      </c>
      <c r="AY475" s="82">
        <v>169</v>
      </c>
      <c r="AZ475" s="82">
        <v>181</v>
      </c>
      <c r="BA475" s="82">
        <v>243</v>
      </c>
      <c r="BB475" s="82">
        <v>218</v>
      </c>
      <c r="BC475" s="82">
        <v>217</v>
      </c>
      <c r="BD475" s="82">
        <v>223</v>
      </c>
      <c r="BE475" s="82">
        <v>273</v>
      </c>
      <c r="BF475" s="82"/>
      <c r="BG475" s="82"/>
      <c r="BH475" s="82"/>
      <c r="BI475" s="82"/>
      <c r="BJ475" s="82"/>
      <c r="BK475" s="82"/>
      <c r="BL475" s="82"/>
      <c r="BM475" s="82"/>
      <c r="BN475" s="82"/>
      <c r="BO475" s="82"/>
      <c r="BQ475" s="82">
        <v>13</v>
      </c>
      <c r="BR475" s="82">
        <v>19</v>
      </c>
      <c r="BS475" s="82">
        <v>19</v>
      </c>
      <c r="BT475" s="82">
        <v>9</v>
      </c>
      <c r="BU475" s="65">
        <f>+SUM(H475:K475)</f>
        <v>57</v>
      </c>
      <c r="BV475" s="65">
        <f>+SUM(L475:O475)</f>
        <v>335</v>
      </c>
      <c r="BW475" s="65">
        <f>+SUM(P475:S475)</f>
        <v>127</v>
      </c>
      <c r="BX475" s="65">
        <f>+SUM(T475:W475)</f>
        <v>198</v>
      </c>
      <c r="BY475" s="65">
        <f>+SUM(X475:AA475)</f>
        <v>218</v>
      </c>
      <c r="BZ475" s="65">
        <f>+SUM(AB475:AE475)</f>
        <v>243</v>
      </c>
      <c r="CA475" s="65">
        <f>+SUM(AF475:AI475)</f>
        <v>289</v>
      </c>
      <c r="CB475" s="65">
        <f>+SUM(AJ475:AM475)</f>
        <v>335</v>
      </c>
      <c r="CC475" s="65">
        <f>+SUM(AN475:AQ475)</f>
        <v>402</v>
      </c>
      <c r="CD475" s="65">
        <f>+SUM(AR475:AU475)</f>
        <v>480</v>
      </c>
      <c r="CE475" s="65">
        <f>+SUM(AV475:AY475)</f>
        <v>643</v>
      </c>
      <c r="CF475" s="65">
        <f>+SUM(AZ475:BC475)</f>
        <v>859</v>
      </c>
      <c r="CG475" s="65">
        <f>+SUM(BD475:BG475)</f>
        <v>496</v>
      </c>
      <c r="CH475" s="65"/>
      <c r="CI475" s="65"/>
    </row>
    <row r="476" spans="2:87" x14ac:dyDescent="0.2">
      <c r="B476" s="70" t="s">
        <v>239</v>
      </c>
      <c r="D476" s="64">
        <f t="shared" ref="D476:Y476" si="853">SUM(D472:D475)</f>
        <v>5</v>
      </c>
      <c r="E476" s="64">
        <f t="shared" si="853"/>
        <v>5</v>
      </c>
      <c r="F476" s="64">
        <f t="shared" si="853"/>
        <v>4</v>
      </c>
      <c r="G476" s="64">
        <f t="shared" si="853"/>
        <v>6</v>
      </c>
      <c r="H476" s="64">
        <f t="shared" si="853"/>
        <v>7</v>
      </c>
      <c r="I476" s="64">
        <f t="shared" si="853"/>
        <v>64</v>
      </c>
      <c r="J476" s="64">
        <f t="shared" si="853"/>
        <v>70</v>
      </c>
      <c r="K476" s="64">
        <f t="shared" si="853"/>
        <v>76</v>
      </c>
      <c r="L476" s="64">
        <f t="shared" si="853"/>
        <v>103</v>
      </c>
      <c r="M476" s="64">
        <f t="shared" si="853"/>
        <v>1106</v>
      </c>
      <c r="N476" s="64">
        <f t="shared" si="853"/>
        <v>179</v>
      </c>
      <c r="O476" s="64">
        <f t="shared" si="853"/>
        <v>184</v>
      </c>
      <c r="P476" s="64">
        <f t="shared" si="853"/>
        <v>170</v>
      </c>
      <c r="Q476" s="64">
        <f t="shared" si="853"/>
        <v>224</v>
      </c>
      <c r="R476" s="64">
        <f t="shared" si="853"/>
        <v>239</v>
      </c>
      <c r="S476" s="64">
        <f t="shared" si="853"/>
        <v>273</v>
      </c>
      <c r="T476" s="64">
        <f t="shared" si="853"/>
        <v>274</v>
      </c>
      <c r="U476" s="64">
        <f t="shared" si="853"/>
        <v>314</v>
      </c>
      <c r="V476" s="64">
        <f t="shared" si="853"/>
        <v>353</v>
      </c>
      <c r="W476" s="64">
        <f t="shared" si="853"/>
        <v>896</v>
      </c>
      <c r="X476" s="64">
        <f t="shared" si="853"/>
        <v>703</v>
      </c>
      <c r="Y476" s="64">
        <f t="shared" si="853"/>
        <v>763</v>
      </c>
      <c r="Z476" s="64">
        <f>SUM(Z472:Z475)</f>
        <v>757</v>
      </c>
      <c r="AA476" s="64">
        <f t="shared" ref="AA476:CB476" si="854">SUM(AA472:AA475)</f>
        <v>746</v>
      </c>
      <c r="AB476" s="64">
        <f t="shared" si="854"/>
        <v>746</v>
      </c>
      <c r="AC476" s="64">
        <f t="shared" si="854"/>
        <v>817</v>
      </c>
      <c r="AD476" s="64">
        <f t="shared" si="854"/>
        <v>824</v>
      </c>
      <c r="AE476" s="64">
        <f t="shared" si="854"/>
        <v>831</v>
      </c>
      <c r="AF476" s="64">
        <f t="shared" si="854"/>
        <v>867</v>
      </c>
      <c r="AG476" s="64">
        <f t="shared" si="854"/>
        <v>1032</v>
      </c>
      <c r="AH476" s="64">
        <f t="shared" si="854"/>
        <v>1010</v>
      </c>
      <c r="AI476" s="64">
        <f t="shared" si="854"/>
        <v>814</v>
      </c>
      <c r="AJ476" s="64">
        <f t="shared" si="854"/>
        <v>955</v>
      </c>
      <c r="AK476" s="64">
        <f t="shared" si="854"/>
        <v>1186</v>
      </c>
      <c r="AL476" s="64">
        <f t="shared" si="854"/>
        <v>1040</v>
      </c>
      <c r="AM476" s="64">
        <f t="shared" si="854"/>
        <v>972</v>
      </c>
      <c r="AN476" s="64">
        <f t="shared" si="854"/>
        <v>1010</v>
      </c>
      <c r="AO476" s="64">
        <f t="shared" si="854"/>
        <v>1303</v>
      </c>
      <c r="AP476" s="64">
        <f t="shared" si="854"/>
        <v>1249</v>
      </c>
      <c r="AQ476" s="64">
        <f t="shared" si="854"/>
        <v>1273</v>
      </c>
      <c r="AR476" s="64">
        <f t="shared" si="854"/>
        <v>1335</v>
      </c>
      <c r="AS476" s="64">
        <f t="shared" si="854"/>
        <v>1695</v>
      </c>
      <c r="AT476" s="64">
        <f t="shared" si="854"/>
        <v>1722</v>
      </c>
      <c r="AU476" s="64">
        <f t="shared" ref="AU476:AZ476" si="855">SUM(AU472:AU475)</f>
        <v>1784</v>
      </c>
      <c r="AV476" s="64">
        <f t="shared" si="855"/>
        <v>1830</v>
      </c>
      <c r="AW476" s="64">
        <f t="shared" si="855"/>
        <v>2548</v>
      </c>
      <c r="AX476" s="64">
        <f t="shared" si="855"/>
        <v>2379</v>
      </c>
      <c r="AY476" s="64">
        <f t="shared" si="855"/>
        <v>2406</v>
      </c>
      <c r="AZ476" s="64">
        <f t="shared" si="855"/>
        <v>2498</v>
      </c>
      <c r="BA476" s="64">
        <f>SUM(BA472:BA475)</f>
        <v>3351</v>
      </c>
      <c r="BB476" s="64">
        <f>SUM(BB472:BB475)</f>
        <v>3134</v>
      </c>
      <c r="BC476" s="64">
        <f>SUM(BC472:BC475)</f>
        <v>3008</v>
      </c>
      <c r="BD476" s="64">
        <f>SUM(BD472:BD475)</f>
        <v>3051</v>
      </c>
      <c r="BE476" s="64">
        <f>SUM(BE472:BE475)</f>
        <v>4060</v>
      </c>
      <c r="BF476" s="64">
        <f>+BF518</f>
        <v>3492</v>
      </c>
      <c r="BG476" s="64">
        <f>+BG518</f>
        <v>3424</v>
      </c>
      <c r="BH476" s="64">
        <f>+BH518</f>
        <v>3562</v>
      </c>
      <c r="BI476" s="64">
        <f>+BI518</f>
        <v>4616</v>
      </c>
      <c r="BJ476" s="64">
        <f>+BJ518</f>
        <v>4250</v>
      </c>
      <c r="BK476" s="64"/>
      <c r="BL476" s="64"/>
      <c r="BM476" s="64"/>
      <c r="BN476" s="64"/>
      <c r="BO476" s="64"/>
      <c r="BQ476" s="64">
        <f t="shared" si="854"/>
        <v>73</v>
      </c>
      <c r="BR476" s="64">
        <f t="shared" si="854"/>
        <v>30</v>
      </c>
      <c r="BS476" s="64">
        <f t="shared" si="854"/>
        <v>27</v>
      </c>
      <c r="BT476" s="64">
        <f t="shared" si="854"/>
        <v>20</v>
      </c>
      <c r="BU476" s="64">
        <f t="shared" si="854"/>
        <v>217</v>
      </c>
      <c r="BV476" s="64">
        <f t="shared" si="854"/>
        <v>1572</v>
      </c>
      <c r="BW476" s="64">
        <f t="shared" si="854"/>
        <v>906</v>
      </c>
      <c r="BX476" s="64">
        <f t="shared" si="854"/>
        <v>1837</v>
      </c>
      <c r="BY476" s="64">
        <f t="shared" si="854"/>
        <v>2969</v>
      </c>
      <c r="BZ476" s="64">
        <f t="shared" si="854"/>
        <v>3218</v>
      </c>
      <c r="CA476" s="64">
        <f t="shared" si="854"/>
        <v>3723</v>
      </c>
      <c r="CB476" s="64">
        <f t="shared" si="854"/>
        <v>4153</v>
      </c>
      <c r="CC476" s="64">
        <f>+SUM(AN476:AQ476)</f>
        <v>4835</v>
      </c>
      <c r="CD476" s="64">
        <f>+SUM(AR476:AU476)</f>
        <v>6536</v>
      </c>
      <c r="CE476" s="64">
        <f>+SUM(AV476:AY476)</f>
        <v>9163</v>
      </c>
      <c r="CF476" s="64">
        <f>+SUM(AZ476:BC476)</f>
        <v>11991</v>
      </c>
      <c r="CG476" s="64">
        <f>+SUM(BD476:BG476)</f>
        <v>14027</v>
      </c>
      <c r="CH476" s="64"/>
      <c r="CI476" s="64"/>
    </row>
    <row r="477" spans="2:87" s="76" customFormat="1" x14ac:dyDescent="0.2">
      <c r="B477" s="101" t="s">
        <v>20</v>
      </c>
      <c r="C477" s="107"/>
      <c r="D477" s="107">
        <f>+D476/D$412</f>
        <v>1.4492753623188406E-2</v>
      </c>
      <c r="E477" s="107">
        <f t="shared" ref="E477:CD477" si="856">+E476/E$412</f>
        <v>1.1600928074245939E-2</v>
      </c>
      <c r="F477" s="107">
        <f t="shared" si="856"/>
        <v>8.5653104925053538E-3</v>
      </c>
      <c r="G477" s="107">
        <f t="shared" si="856"/>
        <v>8.2079343365253077E-3</v>
      </c>
      <c r="H477" s="107">
        <f t="shared" si="856"/>
        <v>9.575923392612859E-3</v>
      </c>
      <c r="I477" s="107">
        <f t="shared" si="856"/>
        <v>7.150837988826815E-2</v>
      </c>
      <c r="J477" s="107">
        <f t="shared" si="856"/>
        <v>7.337526205450734E-2</v>
      </c>
      <c r="K477" s="107">
        <f t="shared" si="856"/>
        <v>6.7197170645446502E-2</v>
      </c>
      <c r="L477" s="107">
        <f t="shared" si="856"/>
        <v>9.7353497164461247E-2</v>
      </c>
      <c r="M477" s="107">
        <f t="shared" si="856"/>
        <v>0.9341216216216216</v>
      </c>
      <c r="N477" s="107">
        <f t="shared" si="856"/>
        <v>0.14183835182250396</v>
      </c>
      <c r="O477" s="107">
        <f t="shared" si="856"/>
        <v>0.11608832807570978</v>
      </c>
      <c r="P477" s="107">
        <f t="shared" si="856"/>
        <v>0.11659807956104253</v>
      </c>
      <c r="Q477" s="107">
        <f t="shared" si="856"/>
        <v>0.12355212355212356</v>
      </c>
      <c r="R477" s="107">
        <f t="shared" si="856"/>
        <v>0.1185515873015873</v>
      </c>
      <c r="S477" s="107">
        <f t="shared" si="856"/>
        <v>0.10560928433268858</v>
      </c>
      <c r="T477" s="107">
        <f t="shared" si="856"/>
        <v>0.10951239008792965</v>
      </c>
      <c r="U477" s="107">
        <f t="shared" si="856"/>
        <v>0.10790378006872853</v>
      </c>
      <c r="V477" s="107">
        <f t="shared" si="856"/>
        <v>0.11020917889478614</v>
      </c>
      <c r="W477" s="107">
        <f t="shared" si="856"/>
        <v>0.23266683978187483</v>
      </c>
      <c r="X477" s="107">
        <f t="shared" si="856"/>
        <v>0.19841941857183179</v>
      </c>
      <c r="Y477" s="107">
        <f t="shared" si="856"/>
        <v>0.18876793666501732</v>
      </c>
      <c r="Z477" s="107">
        <f t="shared" si="856"/>
        <v>0.16818484781159743</v>
      </c>
      <c r="AA477" s="107">
        <f t="shared" si="856"/>
        <v>0.12771785653141585</v>
      </c>
      <c r="AB477" s="107">
        <f t="shared" si="856"/>
        <v>0.13861018208844295</v>
      </c>
      <c r="AC477" s="107">
        <f t="shared" si="856"/>
        <v>0.1269422001243008</v>
      </c>
      <c r="AD477" s="107">
        <f t="shared" si="856"/>
        <v>0.11752959634859507</v>
      </c>
      <c r="AE477" s="107">
        <f t="shared" si="856"/>
        <v>9.4335338857986145E-2</v>
      </c>
      <c r="AF477" s="107">
        <f t="shared" si="856"/>
        <v>0.10794322709163347</v>
      </c>
      <c r="AG477" s="107">
        <f t="shared" si="856"/>
        <v>0.1107177341486965</v>
      </c>
      <c r="AH477" s="107">
        <f t="shared" si="856"/>
        <v>9.7792408985282728E-2</v>
      </c>
      <c r="AI477" s="107">
        <f t="shared" si="856"/>
        <v>6.2750539623805113E-2</v>
      </c>
      <c r="AJ477" s="107">
        <f t="shared" si="856"/>
        <v>7.9809460137054991E-2</v>
      </c>
      <c r="AK477" s="107">
        <f t="shared" si="856"/>
        <v>8.9637971430730864E-2</v>
      </c>
      <c r="AL477" s="107">
        <f t="shared" si="856"/>
        <v>7.5763094631019157E-2</v>
      </c>
      <c r="AM477" s="107">
        <f t="shared" si="856"/>
        <v>5.7467186945725432E-2</v>
      </c>
      <c r="AN477" s="107">
        <f t="shared" si="856"/>
        <v>6.6989454135438081E-2</v>
      </c>
      <c r="AO477" s="107">
        <f t="shared" si="856"/>
        <v>7.7164514982826005E-2</v>
      </c>
      <c r="AP477" s="107">
        <f t="shared" si="856"/>
        <v>7.0756854747337408E-2</v>
      </c>
      <c r="AQ477" s="107">
        <f t="shared" si="856"/>
        <v>6.0383265344843944E-2</v>
      </c>
      <c r="AR477" s="107">
        <f t="shared" si="856"/>
        <v>7.5266392287309011E-2</v>
      </c>
      <c r="AS477" s="107">
        <f t="shared" si="856"/>
        <v>9.070476802054904E-2</v>
      </c>
      <c r="AT477" s="107">
        <f t="shared" si="856"/>
        <v>8.020493712156497E-2</v>
      </c>
      <c r="AU477" s="107">
        <f t="shared" ref="AU477:AZ477" si="857">+AU476/AU$412</f>
        <v>6.3550869193502418E-2</v>
      </c>
      <c r="AV477" s="107">
        <f t="shared" si="857"/>
        <v>6.9924725841580382E-2</v>
      </c>
      <c r="AW477" s="107">
        <f t="shared" si="857"/>
        <v>8.7629397805825904E-2</v>
      </c>
      <c r="AX477" s="107">
        <f t="shared" si="857"/>
        <v>8.2006204756980353E-2</v>
      </c>
      <c r="AY477" s="107">
        <f t="shared" si="857"/>
        <v>7.1456149208517714E-2</v>
      </c>
      <c r="AZ477" s="107">
        <f t="shared" si="857"/>
        <v>8.9508384692561269E-2</v>
      </c>
      <c r="BA477" s="107">
        <f t="shared" ref="BA477:BI477" si="858">+BA476/BA$412</f>
        <v>0.11626535285545764</v>
      </c>
      <c r="BB477" s="107">
        <f t="shared" si="858"/>
        <v>0.11308364003752616</v>
      </c>
      <c r="BC477" s="107">
        <f t="shared" si="858"/>
        <v>9.3517798849681325E-2</v>
      </c>
      <c r="BD477" s="107">
        <f t="shared" si="858"/>
        <v>0.10651073485774132</v>
      </c>
      <c r="BE477" s="107">
        <f t="shared" si="858"/>
        <v>0.12687896496765524</v>
      </c>
      <c r="BF477" s="107">
        <f t="shared" si="858"/>
        <v>0.10226673695308382</v>
      </c>
      <c r="BG477" s="107">
        <f t="shared" si="858"/>
        <v>8.5363117349355533E-2</v>
      </c>
      <c r="BH477" s="107">
        <f t="shared" si="858"/>
        <v>9.7709504869016597E-2</v>
      </c>
      <c r="BI477" s="107">
        <f t="shared" si="858"/>
        <v>0.11814389188912493</v>
      </c>
      <c r="BJ477" s="107">
        <f t="shared" ref="BJ477" si="859">+BJ476/BJ$412</f>
        <v>0.10470817216487226</v>
      </c>
      <c r="BK477" s="107"/>
      <c r="BL477" s="107"/>
      <c r="BM477" s="107"/>
      <c r="BN477" s="107"/>
      <c r="BO477" s="107"/>
      <c r="BP477" s="107"/>
      <c r="BQ477" s="107">
        <f t="shared" si="856"/>
        <v>0.47712418300653597</v>
      </c>
      <c r="BR477" s="107">
        <f t="shared" si="856"/>
        <v>0.11029411764705882</v>
      </c>
      <c r="BS477" s="107">
        <f t="shared" si="856"/>
        <v>3.4749034749034749E-2</v>
      </c>
      <c r="BT477" s="107">
        <f t="shared" si="856"/>
        <v>1.0131712259371834E-2</v>
      </c>
      <c r="BU477" s="107">
        <f t="shared" si="856"/>
        <v>5.8474804634869308E-2</v>
      </c>
      <c r="BV477" s="107">
        <f t="shared" si="856"/>
        <v>0.30890155236785222</v>
      </c>
      <c r="BW477" s="107">
        <f t="shared" si="856"/>
        <v>0.11509146341463415</v>
      </c>
      <c r="BX477" s="107">
        <f t="shared" si="856"/>
        <v>0.14736082143430129</v>
      </c>
      <c r="BY477" s="107">
        <f t="shared" si="856"/>
        <v>0.16561610977854632</v>
      </c>
      <c r="BZ477" s="107">
        <f t="shared" si="856"/>
        <v>0.11643389536145886</v>
      </c>
      <c r="CA477" s="107">
        <f t="shared" si="856"/>
        <v>9.1579957198730716E-2</v>
      </c>
      <c r="CB477" s="107">
        <f t="shared" si="856"/>
        <v>7.4375873061356068E-2</v>
      </c>
      <c r="CC477" s="107">
        <f t="shared" si="856"/>
        <v>6.8390455040525058E-2</v>
      </c>
      <c r="CD477" s="107">
        <f t="shared" si="856"/>
        <v>7.6030058395179484E-2</v>
      </c>
      <c r="CE477" s="107">
        <f>+CE476/CE$412</f>
        <v>7.7699293642785064E-2</v>
      </c>
      <c r="CF477" s="107">
        <f>+CF476/CF$412</f>
        <v>0.10283082780917426</v>
      </c>
      <c r="CG477" s="107">
        <f>+CG476/CG$412</f>
        <v>0.10397995567119592</v>
      </c>
      <c r="CH477" s="107"/>
      <c r="CI477" s="107"/>
    </row>
    <row r="479" spans="2:87" x14ac:dyDescent="0.2">
      <c r="B479" s="54" t="s">
        <v>240</v>
      </c>
    </row>
    <row r="480" spans="2:87" x14ac:dyDescent="0.2">
      <c r="B480" t="s">
        <v>119</v>
      </c>
      <c r="D480" s="81">
        <v>0</v>
      </c>
      <c r="E480" s="81">
        <v>0</v>
      </c>
      <c r="F480" s="81">
        <v>0</v>
      </c>
      <c r="G480" s="81">
        <v>0</v>
      </c>
      <c r="H480" s="81">
        <v>0</v>
      </c>
      <c r="I480" s="81">
        <v>1</v>
      </c>
      <c r="J480" s="81">
        <v>0</v>
      </c>
      <c r="K480" s="81">
        <v>0</v>
      </c>
      <c r="L480" s="81">
        <v>0</v>
      </c>
      <c r="M480" s="81">
        <v>6</v>
      </c>
      <c r="N480" s="81">
        <v>-3</v>
      </c>
      <c r="O480" s="81">
        <v>2</v>
      </c>
      <c r="P480" s="81">
        <v>1</v>
      </c>
      <c r="Q480" s="81">
        <v>0</v>
      </c>
      <c r="R480" s="81">
        <v>0</v>
      </c>
      <c r="S480" s="81">
        <v>0</v>
      </c>
      <c r="T480" s="81">
        <v>2</v>
      </c>
      <c r="U480" s="81">
        <v>0</v>
      </c>
      <c r="V480" s="81">
        <v>1</v>
      </c>
      <c r="W480" s="81">
        <v>6</v>
      </c>
      <c r="X480" s="81">
        <v>1</v>
      </c>
      <c r="Y480" s="81">
        <v>1</v>
      </c>
      <c r="Z480" s="81">
        <v>0</v>
      </c>
      <c r="AA480" s="81">
        <v>0</v>
      </c>
      <c r="AB480" s="81">
        <v>2</v>
      </c>
      <c r="AC480" s="81">
        <v>1</v>
      </c>
      <c r="AD480" s="81">
        <v>1</v>
      </c>
      <c r="AE480" s="81">
        <v>0</v>
      </c>
      <c r="AF480" s="81">
        <v>0</v>
      </c>
      <c r="AG480" s="81">
        <v>0</v>
      </c>
      <c r="AH480" s="81">
        <v>0</v>
      </c>
      <c r="AI480" s="81">
        <v>0</v>
      </c>
      <c r="AJ480" s="81">
        <v>0</v>
      </c>
      <c r="AK480" s="81">
        <v>0</v>
      </c>
      <c r="AL480" s="81">
        <v>0</v>
      </c>
      <c r="AM480" s="81">
        <v>0</v>
      </c>
      <c r="AN480" s="81">
        <v>0</v>
      </c>
      <c r="AO480" s="81">
        <v>0</v>
      </c>
      <c r="AP480" s="81">
        <v>0</v>
      </c>
      <c r="AQ480" s="81">
        <v>0</v>
      </c>
      <c r="AR480" s="81">
        <v>0</v>
      </c>
      <c r="AS480" s="81">
        <v>0</v>
      </c>
      <c r="AT480" s="81">
        <v>0</v>
      </c>
      <c r="AU480" s="81">
        <v>0</v>
      </c>
      <c r="AV480" s="81">
        <v>0</v>
      </c>
      <c r="AW480" s="81">
        <v>0</v>
      </c>
      <c r="AX480" s="81">
        <v>0</v>
      </c>
      <c r="AY480" s="81">
        <v>0</v>
      </c>
      <c r="AZ480" s="81">
        <v>0</v>
      </c>
      <c r="BA480" s="81">
        <v>0</v>
      </c>
      <c r="BB480" s="81">
        <v>0</v>
      </c>
      <c r="BC480" s="81">
        <v>0</v>
      </c>
      <c r="BD480" s="81">
        <v>0</v>
      </c>
      <c r="BE480" s="81">
        <v>0</v>
      </c>
      <c r="BF480" s="81">
        <v>0</v>
      </c>
      <c r="BG480" s="81">
        <v>0</v>
      </c>
      <c r="BH480" s="81">
        <v>0</v>
      </c>
      <c r="BI480" s="81">
        <v>0</v>
      </c>
      <c r="BJ480" s="81">
        <v>0</v>
      </c>
      <c r="BK480" s="81"/>
      <c r="BL480" s="81"/>
      <c r="BM480" s="81"/>
      <c r="BN480" s="81"/>
      <c r="BO480" s="81"/>
      <c r="BQ480" s="81">
        <v>0</v>
      </c>
      <c r="BR480" s="81">
        <v>0</v>
      </c>
      <c r="BS480" s="81">
        <v>0</v>
      </c>
      <c r="BT480" s="81">
        <v>0</v>
      </c>
      <c r="BU480" s="64">
        <f>+SUM(H480:K480)</f>
        <v>1</v>
      </c>
      <c r="BV480" s="64">
        <f>+SUM(L480:O480)</f>
        <v>5</v>
      </c>
      <c r="BW480" s="64">
        <f>+SUM(P480:S480)</f>
        <v>1</v>
      </c>
      <c r="BX480" s="64">
        <f>+SUM(T480:W480)</f>
        <v>9</v>
      </c>
      <c r="BY480" s="64">
        <f>+SUM(X480:AA480)</f>
        <v>2</v>
      </c>
      <c r="BZ480" s="64">
        <f>+SUM(AB480:AE480)</f>
        <v>4</v>
      </c>
      <c r="CA480" s="64">
        <f>+SUM(AF480:AI480)</f>
        <v>0</v>
      </c>
      <c r="CB480" s="64">
        <f>+SUM(AJ480:AM480)</f>
        <v>0</v>
      </c>
      <c r="CC480" s="64">
        <f>+SUM(AN480:AQ480)</f>
        <v>0</v>
      </c>
      <c r="CD480" s="64">
        <f>+SUM(AR480:AU480)</f>
        <v>0</v>
      </c>
      <c r="CE480" s="64">
        <f>+SUM(AV480:AY480)</f>
        <v>0</v>
      </c>
      <c r="CF480" s="64">
        <f>+SUM(AZ480:BC480)</f>
        <v>0</v>
      </c>
      <c r="CG480" s="64">
        <f>+SUM(BD480:BG480)</f>
        <v>0</v>
      </c>
      <c r="CH480" s="64"/>
      <c r="CI480" s="64"/>
    </row>
    <row r="481" spans="2:87" x14ac:dyDescent="0.2">
      <c r="B481" t="s">
        <v>121</v>
      </c>
      <c r="D481" s="81">
        <v>0</v>
      </c>
      <c r="E481" s="81">
        <v>0</v>
      </c>
      <c r="F481" s="81">
        <v>0</v>
      </c>
      <c r="G481" s="81">
        <v>0</v>
      </c>
      <c r="H481" s="81">
        <v>1</v>
      </c>
      <c r="I481" s="81">
        <v>1</v>
      </c>
      <c r="J481" s="81">
        <v>0</v>
      </c>
      <c r="K481" s="81">
        <v>0</v>
      </c>
      <c r="L481" s="81">
        <v>1</v>
      </c>
      <c r="M481" s="81">
        <v>48</v>
      </c>
      <c r="N481" s="81">
        <v>-12</v>
      </c>
      <c r="O481" s="81">
        <v>16</v>
      </c>
      <c r="P481" s="81">
        <v>11</v>
      </c>
      <c r="Q481" s="81">
        <v>7</v>
      </c>
      <c r="R481" s="81">
        <v>8</v>
      </c>
      <c r="S481" s="81">
        <v>4</v>
      </c>
      <c r="T481" s="81">
        <v>15</v>
      </c>
      <c r="U481" s="81">
        <v>6</v>
      </c>
      <c r="V481" s="81">
        <v>6</v>
      </c>
      <c r="W481" s="81">
        <v>2</v>
      </c>
      <c r="X481" s="81">
        <v>17</v>
      </c>
      <c r="Y481" s="81">
        <v>7</v>
      </c>
      <c r="Z481" s="81">
        <v>10</v>
      </c>
      <c r="AA481" s="81">
        <v>22</v>
      </c>
      <c r="AB481" s="81">
        <v>29</v>
      </c>
      <c r="AC481" s="81">
        <v>14</v>
      </c>
      <c r="AD481" s="81">
        <v>14</v>
      </c>
      <c r="AE481" s="81">
        <v>0</v>
      </c>
      <c r="AF481" s="81">
        <v>0</v>
      </c>
      <c r="AG481" s="81">
        <v>0</v>
      </c>
      <c r="AH481" s="81">
        <v>0</v>
      </c>
      <c r="AI481" s="81">
        <v>0</v>
      </c>
      <c r="AJ481" s="81">
        <v>0</v>
      </c>
      <c r="AK481" s="81">
        <v>0</v>
      </c>
      <c r="AL481" s="81">
        <v>0</v>
      </c>
      <c r="AM481" s="81">
        <v>0</v>
      </c>
      <c r="AN481" s="81">
        <v>0</v>
      </c>
      <c r="AO481" s="81">
        <v>0</v>
      </c>
      <c r="AP481" s="81">
        <v>0</v>
      </c>
      <c r="AQ481" s="81">
        <v>0</v>
      </c>
      <c r="AR481" s="81">
        <v>0</v>
      </c>
      <c r="AS481" s="81">
        <v>0</v>
      </c>
      <c r="AT481" s="81">
        <v>0</v>
      </c>
      <c r="AU481" s="81">
        <v>0</v>
      </c>
      <c r="AV481" s="81">
        <v>0</v>
      </c>
      <c r="AW481" s="81">
        <v>0</v>
      </c>
      <c r="AX481" s="81">
        <v>0</v>
      </c>
      <c r="AY481" s="81">
        <v>0</v>
      </c>
      <c r="AZ481" s="81">
        <v>0</v>
      </c>
      <c r="BA481" s="81">
        <v>0</v>
      </c>
      <c r="BB481" s="81">
        <v>0</v>
      </c>
      <c r="BC481" s="81">
        <v>0</v>
      </c>
      <c r="BD481" s="81">
        <v>0</v>
      </c>
      <c r="BE481" s="81">
        <v>0</v>
      </c>
      <c r="BF481" s="81">
        <v>0</v>
      </c>
      <c r="BG481" s="81">
        <v>0</v>
      </c>
      <c r="BH481" s="81">
        <v>0</v>
      </c>
      <c r="BI481" s="81">
        <v>0</v>
      </c>
      <c r="BJ481" s="81">
        <v>0</v>
      </c>
      <c r="BK481" s="81"/>
      <c r="BL481" s="81"/>
      <c r="BM481" s="81"/>
      <c r="BN481" s="81"/>
      <c r="BO481" s="81"/>
      <c r="BQ481" s="81">
        <v>0</v>
      </c>
      <c r="BR481" s="81">
        <v>0</v>
      </c>
      <c r="BS481" s="81">
        <v>0</v>
      </c>
      <c r="BT481" s="81">
        <v>0</v>
      </c>
      <c r="BU481" s="64">
        <f>+SUM(H481:K481)</f>
        <v>2</v>
      </c>
      <c r="BV481" s="64">
        <f>+SUM(L481:O481)</f>
        <v>53</v>
      </c>
      <c r="BW481" s="64">
        <f>+SUM(P481:S481)</f>
        <v>30</v>
      </c>
      <c r="BX481" s="64">
        <f>+SUM(T481:W481)</f>
        <v>29</v>
      </c>
      <c r="BY481" s="64">
        <f>+SUM(X481:AA481)</f>
        <v>56</v>
      </c>
      <c r="BZ481" s="64">
        <f>+SUM(AB481:AE481)</f>
        <v>57</v>
      </c>
      <c r="CA481" s="64">
        <f>+SUM(AF481:AI481)</f>
        <v>0</v>
      </c>
      <c r="CB481" s="64">
        <f>+SUM(AJ481:AM481)</f>
        <v>0</v>
      </c>
      <c r="CC481" s="64">
        <f>+SUM(AN481:AQ481)</f>
        <v>0</v>
      </c>
      <c r="CD481" s="64">
        <f>+SUM(AR481:AU481)</f>
        <v>0</v>
      </c>
      <c r="CE481" s="64">
        <f>+SUM(AV481:AY481)</f>
        <v>0</v>
      </c>
      <c r="CF481" s="64">
        <f>+SUM(AZ481:BC481)</f>
        <v>0</v>
      </c>
      <c r="CG481" s="64">
        <f>+SUM(BD481:BG481)</f>
        <v>0</v>
      </c>
      <c r="CH481" s="64"/>
      <c r="CI481" s="64"/>
    </row>
    <row r="482" spans="2:87" x14ac:dyDescent="0.2">
      <c r="B482" t="s">
        <v>122</v>
      </c>
      <c r="D482" s="81">
        <v>0</v>
      </c>
      <c r="E482" s="81">
        <v>0</v>
      </c>
      <c r="F482" s="81">
        <v>0</v>
      </c>
      <c r="G482" s="81">
        <v>0</v>
      </c>
      <c r="H482" s="81">
        <v>0</v>
      </c>
      <c r="I482" s="81">
        <v>4</v>
      </c>
      <c r="J482" s="81">
        <v>0</v>
      </c>
      <c r="K482" s="81">
        <v>0</v>
      </c>
      <c r="L482" s="81">
        <v>0</v>
      </c>
      <c r="M482" s="81">
        <v>25</v>
      </c>
      <c r="N482" s="81">
        <v>-9</v>
      </c>
      <c r="O482" s="81">
        <v>4</v>
      </c>
      <c r="P482" s="81">
        <v>4</v>
      </c>
      <c r="Q482" s="81">
        <v>1</v>
      </c>
      <c r="R482" s="81">
        <v>2</v>
      </c>
      <c r="S482" s="81">
        <v>1</v>
      </c>
      <c r="T482" s="81">
        <v>4</v>
      </c>
      <c r="U482" s="81">
        <v>2</v>
      </c>
      <c r="V482" s="81">
        <v>1</v>
      </c>
      <c r="W482" s="81">
        <v>5</v>
      </c>
      <c r="X482" s="81">
        <v>4</v>
      </c>
      <c r="Y482" s="81">
        <v>2</v>
      </c>
      <c r="Z482" s="81">
        <v>2</v>
      </c>
      <c r="AA482" s="81">
        <v>2</v>
      </c>
      <c r="AB482" s="81">
        <v>5</v>
      </c>
      <c r="AC482" s="81">
        <v>2</v>
      </c>
      <c r="AD482" s="81">
        <v>2</v>
      </c>
      <c r="AE482" s="81">
        <v>0</v>
      </c>
      <c r="AF482" s="81">
        <v>0</v>
      </c>
      <c r="AG482" s="81">
        <v>0</v>
      </c>
      <c r="AH482" s="81">
        <v>0</v>
      </c>
      <c r="AI482" s="81">
        <v>0</v>
      </c>
      <c r="AJ482" s="81">
        <v>0</v>
      </c>
      <c r="AK482" s="81">
        <v>0</v>
      </c>
      <c r="AL482" s="81">
        <v>0</v>
      </c>
      <c r="AM482" s="81">
        <v>0</v>
      </c>
      <c r="AN482" s="81">
        <v>0</v>
      </c>
      <c r="AO482" s="81">
        <v>0</v>
      </c>
      <c r="AP482" s="81">
        <v>0</v>
      </c>
      <c r="AQ482" s="81">
        <v>0</v>
      </c>
      <c r="AR482" s="81">
        <v>0</v>
      </c>
      <c r="AS482" s="81">
        <v>0</v>
      </c>
      <c r="AT482" s="81">
        <v>0</v>
      </c>
      <c r="AU482" s="81">
        <v>0</v>
      </c>
      <c r="AV482" s="81">
        <v>0</v>
      </c>
      <c r="AW482" s="81">
        <v>0</v>
      </c>
      <c r="AX482" s="81">
        <v>0</v>
      </c>
      <c r="AY482" s="81">
        <v>0</v>
      </c>
      <c r="AZ482" s="81">
        <v>0</v>
      </c>
      <c r="BA482" s="81">
        <v>0</v>
      </c>
      <c r="BB482" s="81">
        <v>0</v>
      </c>
      <c r="BC482" s="81">
        <v>0</v>
      </c>
      <c r="BD482" s="81">
        <v>0</v>
      </c>
      <c r="BE482" s="81">
        <v>0</v>
      </c>
      <c r="BF482" s="81">
        <v>0</v>
      </c>
      <c r="BG482" s="81">
        <v>0</v>
      </c>
      <c r="BH482" s="81">
        <v>0</v>
      </c>
      <c r="BI482" s="81">
        <v>0</v>
      </c>
      <c r="BJ482" s="81">
        <v>0</v>
      </c>
      <c r="BK482" s="81"/>
      <c r="BL482" s="81"/>
      <c r="BM482" s="81"/>
      <c r="BN482" s="81"/>
      <c r="BO482" s="81"/>
      <c r="BQ482" s="81">
        <v>0</v>
      </c>
      <c r="BR482" s="81">
        <v>0</v>
      </c>
      <c r="BS482" s="81">
        <v>0</v>
      </c>
      <c r="BT482" s="81">
        <v>0</v>
      </c>
      <c r="BU482" s="64">
        <f>+SUM(H482:K482)</f>
        <v>4</v>
      </c>
      <c r="BV482" s="64">
        <f>+SUM(L482:O482)</f>
        <v>20</v>
      </c>
      <c r="BW482" s="64">
        <f>+SUM(P482:S482)</f>
        <v>8</v>
      </c>
      <c r="BX482" s="64">
        <f>+SUM(T482:W482)</f>
        <v>12</v>
      </c>
      <c r="BY482" s="64">
        <f>+SUM(X482:AA482)</f>
        <v>10</v>
      </c>
      <c r="BZ482" s="64">
        <f>+SUM(AB482:AE482)</f>
        <v>9</v>
      </c>
      <c r="CA482" s="64">
        <f>+SUM(AF482:AI482)</f>
        <v>0</v>
      </c>
      <c r="CB482" s="64">
        <f>+SUM(AJ482:AM482)</f>
        <v>0</v>
      </c>
      <c r="CC482" s="64">
        <f>+SUM(AN482:AQ482)</f>
        <v>0</v>
      </c>
      <c r="CD482" s="64">
        <f>+SUM(AR482:AU482)</f>
        <v>0</v>
      </c>
      <c r="CE482" s="64">
        <f>+SUM(AV482:AY482)</f>
        <v>0</v>
      </c>
      <c r="CF482" s="64">
        <f>+SUM(AZ482:BC482)</f>
        <v>0</v>
      </c>
      <c r="CG482" s="64">
        <f>+SUM(BD482:BG482)</f>
        <v>0</v>
      </c>
      <c r="CH482" s="64"/>
      <c r="CI482" s="64"/>
    </row>
    <row r="483" spans="2:87" ht="13.5" x14ac:dyDescent="0.35">
      <c r="B483" t="s">
        <v>123</v>
      </c>
      <c r="D483" s="82">
        <v>0</v>
      </c>
      <c r="E483" s="82">
        <v>0</v>
      </c>
      <c r="F483" s="82">
        <v>0</v>
      </c>
      <c r="G483" s="82">
        <v>0</v>
      </c>
      <c r="H483" s="82">
        <v>0</v>
      </c>
      <c r="I483" s="82">
        <v>0</v>
      </c>
      <c r="J483" s="82">
        <v>0</v>
      </c>
      <c r="K483" s="82">
        <v>0</v>
      </c>
      <c r="L483" s="82">
        <v>0</v>
      </c>
      <c r="M483" s="82">
        <v>73</v>
      </c>
      <c r="N483" s="82">
        <v>-7</v>
      </c>
      <c r="O483" s="82">
        <v>7</v>
      </c>
      <c r="P483" s="82">
        <v>4</v>
      </c>
      <c r="Q483" s="82">
        <v>0</v>
      </c>
      <c r="R483" s="82">
        <v>2</v>
      </c>
      <c r="S483" s="82">
        <v>48</v>
      </c>
      <c r="T483" s="82">
        <v>4</v>
      </c>
      <c r="U483" s="82">
        <v>0</v>
      </c>
      <c r="V483" s="82">
        <v>3</v>
      </c>
      <c r="W483" s="82">
        <v>0</v>
      </c>
      <c r="X483" s="82">
        <v>3</v>
      </c>
      <c r="Y483" s="82">
        <v>2</v>
      </c>
      <c r="Z483" s="82">
        <v>2</v>
      </c>
      <c r="AA483" s="82">
        <v>2</v>
      </c>
      <c r="AB483" s="82">
        <v>5</v>
      </c>
      <c r="AC483" s="82">
        <v>3</v>
      </c>
      <c r="AD483" s="82">
        <v>3</v>
      </c>
      <c r="AE483" s="82">
        <v>0</v>
      </c>
      <c r="AF483" s="82">
        <v>0</v>
      </c>
      <c r="AG483" s="82">
        <v>0</v>
      </c>
      <c r="AH483" s="82">
        <v>0</v>
      </c>
      <c r="AI483" s="82">
        <v>0</v>
      </c>
      <c r="AJ483" s="82">
        <v>0</v>
      </c>
      <c r="AK483" s="82">
        <v>0</v>
      </c>
      <c r="AL483" s="82">
        <v>0</v>
      </c>
      <c r="AM483" s="82">
        <v>0</v>
      </c>
      <c r="AN483" s="82">
        <v>0</v>
      </c>
      <c r="AO483" s="82">
        <v>0</v>
      </c>
      <c r="AP483" s="82">
        <v>0</v>
      </c>
      <c r="AQ483" s="82">
        <v>0</v>
      </c>
      <c r="AR483" s="82">
        <v>0</v>
      </c>
      <c r="AS483" s="82">
        <v>0</v>
      </c>
      <c r="AT483" s="82">
        <v>0</v>
      </c>
      <c r="AU483" s="82">
        <v>0</v>
      </c>
      <c r="AV483" s="82">
        <v>0</v>
      </c>
      <c r="AW483" s="82">
        <v>0</v>
      </c>
      <c r="AX483" s="82">
        <v>0</v>
      </c>
      <c r="AY483" s="82">
        <v>0</v>
      </c>
      <c r="AZ483" s="82">
        <v>0</v>
      </c>
      <c r="BA483" s="82">
        <v>0</v>
      </c>
      <c r="BB483" s="82">
        <v>0</v>
      </c>
      <c r="BC483" s="82">
        <v>0</v>
      </c>
      <c r="BD483" s="82">
        <v>0</v>
      </c>
      <c r="BE483" s="82">
        <v>0</v>
      </c>
      <c r="BF483" s="82">
        <v>0</v>
      </c>
      <c r="BG483" s="82">
        <v>0</v>
      </c>
      <c r="BH483" s="82">
        <v>0</v>
      </c>
      <c r="BI483" s="82">
        <v>0</v>
      </c>
      <c r="BJ483" s="82">
        <v>0</v>
      </c>
      <c r="BK483" s="82"/>
      <c r="BL483" s="82"/>
      <c r="BM483" s="82"/>
      <c r="BN483" s="82"/>
      <c r="BO483" s="82"/>
      <c r="BQ483" s="82">
        <v>0</v>
      </c>
      <c r="BR483" s="82">
        <v>0</v>
      </c>
      <c r="BS483" s="82">
        <v>0</v>
      </c>
      <c r="BT483" s="82">
        <v>0</v>
      </c>
      <c r="BU483" s="65">
        <f>+SUM(H483:K483)</f>
        <v>0</v>
      </c>
      <c r="BV483" s="65">
        <f>+SUM(L483:O483)</f>
        <v>73</v>
      </c>
      <c r="BW483" s="65">
        <f>+SUM(P483:S483)</f>
        <v>54</v>
      </c>
      <c r="BX483" s="65">
        <f>+SUM(T483:W483)</f>
        <v>7</v>
      </c>
      <c r="BY483" s="65">
        <f>+SUM(X483:AA483)</f>
        <v>9</v>
      </c>
      <c r="BZ483" s="65">
        <f>+SUM(AB483:AE483)</f>
        <v>11</v>
      </c>
      <c r="CA483" s="65">
        <f>+SUM(AF483:AI483)</f>
        <v>0</v>
      </c>
      <c r="CB483" s="65">
        <f>+SUM(AJ483:AM483)</f>
        <v>0</v>
      </c>
      <c r="CC483" s="65">
        <f>+SUM(AN483:AQ483)</f>
        <v>0</v>
      </c>
      <c r="CD483" s="65">
        <f>+SUM(AR483:AU483)</f>
        <v>0</v>
      </c>
      <c r="CE483" s="65">
        <f>+SUM(AV483:AY483)</f>
        <v>0</v>
      </c>
      <c r="CF483" s="65">
        <f>+SUM(AZ483:BC483)</f>
        <v>0</v>
      </c>
      <c r="CG483" s="65">
        <f>+SUM(BD483:BG483)</f>
        <v>0</v>
      </c>
      <c r="CH483" s="65"/>
      <c r="CI483" s="65"/>
    </row>
    <row r="484" spans="2:87" x14ac:dyDescent="0.2">
      <c r="B484" s="70" t="s">
        <v>241</v>
      </c>
      <c r="D484" s="64">
        <f t="shared" ref="D484:Y484" si="860">SUM(D480:D483)</f>
        <v>0</v>
      </c>
      <c r="E484" s="64">
        <f t="shared" si="860"/>
        <v>0</v>
      </c>
      <c r="F484" s="64">
        <f t="shared" si="860"/>
        <v>0</v>
      </c>
      <c r="G484" s="64">
        <f t="shared" si="860"/>
        <v>0</v>
      </c>
      <c r="H484" s="64">
        <f t="shared" si="860"/>
        <v>1</v>
      </c>
      <c r="I484" s="64">
        <f t="shared" si="860"/>
        <v>6</v>
      </c>
      <c r="J484" s="64">
        <f t="shared" si="860"/>
        <v>0</v>
      </c>
      <c r="K484" s="64">
        <f t="shared" si="860"/>
        <v>0</v>
      </c>
      <c r="L484" s="64">
        <f t="shared" si="860"/>
        <v>1</v>
      </c>
      <c r="M484" s="64">
        <f t="shared" si="860"/>
        <v>152</v>
      </c>
      <c r="N484" s="64">
        <f t="shared" si="860"/>
        <v>-31</v>
      </c>
      <c r="O484" s="64">
        <f t="shared" si="860"/>
        <v>29</v>
      </c>
      <c r="P484" s="64">
        <f t="shared" si="860"/>
        <v>20</v>
      </c>
      <c r="Q484" s="64">
        <f t="shared" si="860"/>
        <v>8</v>
      </c>
      <c r="R484" s="64">
        <f t="shared" si="860"/>
        <v>12</v>
      </c>
      <c r="S484" s="64">
        <f t="shared" si="860"/>
        <v>53</v>
      </c>
      <c r="T484" s="64">
        <f t="shared" si="860"/>
        <v>25</v>
      </c>
      <c r="U484" s="64">
        <f t="shared" si="860"/>
        <v>8</v>
      </c>
      <c r="V484" s="64">
        <f t="shared" si="860"/>
        <v>11</v>
      </c>
      <c r="W484" s="64">
        <f t="shared" si="860"/>
        <v>13</v>
      </c>
      <c r="X484" s="64">
        <f t="shared" si="860"/>
        <v>25</v>
      </c>
      <c r="Y484" s="64">
        <f t="shared" si="860"/>
        <v>12</v>
      </c>
      <c r="Z484" s="64">
        <v>14</v>
      </c>
      <c r="AA484" s="64">
        <f t="shared" ref="AA484:CB484" si="861">SUM(AA480:AA483)</f>
        <v>26</v>
      </c>
      <c r="AB484" s="64">
        <f t="shared" si="861"/>
        <v>41</v>
      </c>
      <c r="AC484" s="64">
        <f t="shared" si="861"/>
        <v>20</v>
      </c>
      <c r="AD484" s="64">
        <f t="shared" si="861"/>
        <v>20</v>
      </c>
      <c r="AE484" s="64">
        <f t="shared" si="861"/>
        <v>0</v>
      </c>
      <c r="AF484" s="64">
        <f t="shared" si="861"/>
        <v>0</v>
      </c>
      <c r="AG484" s="64">
        <f t="shared" si="861"/>
        <v>0</v>
      </c>
      <c r="AH484" s="64">
        <f t="shared" si="861"/>
        <v>0</v>
      </c>
      <c r="AI484" s="64">
        <f t="shared" si="861"/>
        <v>0</v>
      </c>
      <c r="AJ484" s="64">
        <f t="shared" si="861"/>
        <v>0</v>
      </c>
      <c r="AK484" s="64">
        <f t="shared" si="861"/>
        <v>0</v>
      </c>
      <c r="AL484" s="64">
        <f t="shared" si="861"/>
        <v>0</v>
      </c>
      <c r="AM484" s="64">
        <f t="shared" si="861"/>
        <v>0</v>
      </c>
      <c r="AN484" s="64">
        <f t="shared" si="861"/>
        <v>0</v>
      </c>
      <c r="AO484" s="64">
        <f t="shared" si="861"/>
        <v>0</v>
      </c>
      <c r="AP484" s="64">
        <f t="shared" si="861"/>
        <v>0</v>
      </c>
      <c r="AQ484" s="64">
        <f t="shared" si="861"/>
        <v>0</v>
      </c>
      <c r="AR484" s="64">
        <f t="shared" si="861"/>
        <v>0</v>
      </c>
      <c r="AS484" s="64">
        <f t="shared" si="861"/>
        <v>0</v>
      </c>
      <c r="AT484" s="64">
        <f t="shared" si="861"/>
        <v>0</v>
      </c>
      <c r="AU484" s="64">
        <f t="shared" ref="AU484:AZ484" si="862">SUM(AU480:AU483)</f>
        <v>0</v>
      </c>
      <c r="AV484" s="64">
        <f t="shared" si="862"/>
        <v>0</v>
      </c>
      <c r="AW484" s="64">
        <f t="shared" si="862"/>
        <v>0</v>
      </c>
      <c r="AX484" s="64">
        <f t="shared" si="862"/>
        <v>0</v>
      </c>
      <c r="AY484" s="64">
        <f t="shared" si="862"/>
        <v>0</v>
      </c>
      <c r="AZ484" s="64">
        <f t="shared" si="862"/>
        <v>0</v>
      </c>
      <c r="BA484" s="64">
        <f t="shared" ref="BA484:BI484" si="863">SUM(BA480:BA483)</f>
        <v>0</v>
      </c>
      <c r="BB484" s="64">
        <f t="shared" si="863"/>
        <v>0</v>
      </c>
      <c r="BC484" s="64">
        <f t="shared" si="863"/>
        <v>0</v>
      </c>
      <c r="BD484" s="64">
        <f t="shared" si="863"/>
        <v>0</v>
      </c>
      <c r="BE484" s="64">
        <f t="shared" si="863"/>
        <v>0</v>
      </c>
      <c r="BF484" s="64">
        <f t="shared" si="863"/>
        <v>0</v>
      </c>
      <c r="BG484" s="64">
        <f t="shared" si="863"/>
        <v>0</v>
      </c>
      <c r="BH484" s="64">
        <f t="shared" si="863"/>
        <v>0</v>
      </c>
      <c r="BI484" s="64">
        <f t="shared" si="863"/>
        <v>0</v>
      </c>
      <c r="BJ484" s="64">
        <f t="shared" ref="BJ484" si="864">SUM(BJ480:BJ483)</f>
        <v>0</v>
      </c>
      <c r="BK484" s="64"/>
      <c r="BL484" s="64"/>
      <c r="BM484" s="64"/>
      <c r="BN484" s="64"/>
      <c r="BO484" s="64"/>
      <c r="BQ484" s="64">
        <f t="shared" si="861"/>
        <v>0</v>
      </c>
      <c r="BR484" s="64">
        <f t="shared" si="861"/>
        <v>0</v>
      </c>
      <c r="BS484" s="64">
        <f t="shared" si="861"/>
        <v>0</v>
      </c>
      <c r="BT484" s="64">
        <f t="shared" si="861"/>
        <v>0</v>
      </c>
      <c r="BU484" s="64">
        <f t="shared" si="861"/>
        <v>7</v>
      </c>
      <c r="BV484" s="64">
        <f t="shared" si="861"/>
        <v>151</v>
      </c>
      <c r="BW484" s="64">
        <f t="shared" si="861"/>
        <v>93</v>
      </c>
      <c r="BX484" s="64">
        <f t="shared" si="861"/>
        <v>57</v>
      </c>
      <c r="BY484" s="64">
        <f t="shared" si="861"/>
        <v>77</v>
      </c>
      <c r="BZ484" s="64">
        <f t="shared" si="861"/>
        <v>81</v>
      </c>
      <c r="CA484" s="64">
        <f t="shared" si="861"/>
        <v>0</v>
      </c>
      <c r="CB484" s="64">
        <f t="shared" si="861"/>
        <v>0</v>
      </c>
      <c r="CC484" s="64">
        <f>+SUM(AN484:AQ484)</f>
        <v>0</v>
      </c>
      <c r="CD484" s="64">
        <f>+SUM(AR484:AU484)</f>
        <v>0</v>
      </c>
      <c r="CE484" s="64">
        <f>+SUM(AV484:AY484)</f>
        <v>0</v>
      </c>
      <c r="CF484" s="64">
        <f>+SUM(AZ484:BC484)</f>
        <v>0</v>
      </c>
      <c r="CG484" s="64">
        <f>+SUM(BD484:BG484)</f>
        <v>0</v>
      </c>
      <c r="CH484" s="64"/>
      <c r="CI484" s="64"/>
    </row>
    <row r="485" spans="2:87" x14ac:dyDescent="0.2">
      <c r="B485" s="101" t="s">
        <v>20</v>
      </c>
      <c r="C485" s="107"/>
      <c r="D485" s="107">
        <f>+D484/D$412</f>
        <v>0</v>
      </c>
      <c r="E485" s="107">
        <f t="shared" ref="E485:CD485" si="865">+E484/E$412</f>
        <v>0</v>
      </c>
      <c r="F485" s="107">
        <f t="shared" si="865"/>
        <v>0</v>
      </c>
      <c r="G485" s="107">
        <f t="shared" si="865"/>
        <v>0</v>
      </c>
      <c r="H485" s="107">
        <f t="shared" si="865"/>
        <v>1.3679890560875513E-3</v>
      </c>
      <c r="I485" s="107">
        <f t="shared" si="865"/>
        <v>6.7039106145251395E-3</v>
      </c>
      <c r="J485" s="107">
        <f t="shared" si="865"/>
        <v>0</v>
      </c>
      <c r="K485" s="107">
        <f t="shared" si="865"/>
        <v>0</v>
      </c>
      <c r="L485" s="107">
        <f t="shared" si="865"/>
        <v>9.4517958412098301E-4</v>
      </c>
      <c r="M485" s="107">
        <f t="shared" si="865"/>
        <v>0.12837837837837837</v>
      </c>
      <c r="N485" s="107">
        <f t="shared" si="865"/>
        <v>-2.456418383518225E-2</v>
      </c>
      <c r="O485" s="107">
        <f t="shared" si="865"/>
        <v>1.829652996845426E-2</v>
      </c>
      <c r="P485" s="107">
        <f t="shared" si="865"/>
        <v>1.3717421124828532E-2</v>
      </c>
      <c r="Q485" s="107">
        <f t="shared" si="865"/>
        <v>4.4125758411472701E-3</v>
      </c>
      <c r="R485" s="107">
        <f t="shared" si="865"/>
        <v>5.9523809523809521E-3</v>
      </c>
      <c r="S485" s="107">
        <f t="shared" si="865"/>
        <v>2.0502901353965184E-2</v>
      </c>
      <c r="T485" s="107">
        <f t="shared" si="865"/>
        <v>9.9920063948840919E-3</v>
      </c>
      <c r="U485" s="107">
        <f t="shared" si="865"/>
        <v>2.7491408934707906E-3</v>
      </c>
      <c r="V485" s="107">
        <f t="shared" si="865"/>
        <v>3.4342803621604744E-3</v>
      </c>
      <c r="W485" s="107">
        <f t="shared" si="865"/>
        <v>3.3757465593352376E-3</v>
      </c>
      <c r="X485" s="107">
        <f t="shared" si="865"/>
        <v>7.056167090036692E-3</v>
      </c>
      <c r="Y485" s="107">
        <f t="shared" si="865"/>
        <v>2.9688273132112814E-3</v>
      </c>
      <c r="Z485" s="107">
        <f t="shared" si="865"/>
        <v>3.1104199066874028E-3</v>
      </c>
      <c r="AA485" s="107">
        <f t="shared" si="865"/>
        <v>4.4512925868858072E-3</v>
      </c>
      <c r="AB485" s="107">
        <f t="shared" si="865"/>
        <v>7.617985878855444E-3</v>
      </c>
      <c r="AC485" s="107">
        <f t="shared" si="865"/>
        <v>3.1075201988812928E-3</v>
      </c>
      <c r="AD485" s="107">
        <f t="shared" si="865"/>
        <v>2.8526601055484241E-3</v>
      </c>
      <c r="AE485" s="107">
        <f t="shared" si="865"/>
        <v>0</v>
      </c>
      <c r="AF485" s="107">
        <f t="shared" si="865"/>
        <v>0</v>
      </c>
      <c r="AG485" s="107">
        <f t="shared" si="865"/>
        <v>0</v>
      </c>
      <c r="AH485" s="107">
        <f t="shared" si="865"/>
        <v>0</v>
      </c>
      <c r="AI485" s="107">
        <f t="shared" si="865"/>
        <v>0</v>
      </c>
      <c r="AJ485" s="107">
        <f t="shared" si="865"/>
        <v>0</v>
      </c>
      <c r="AK485" s="107">
        <f t="shared" si="865"/>
        <v>0</v>
      </c>
      <c r="AL485" s="107">
        <f t="shared" si="865"/>
        <v>0</v>
      </c>
      <c r="AM485" s="107">
        <f t="shared" si="865"/>
        <v>0</v>
      </c>
      <c r="AN485" s="107">
        <f t="shared" si="865"/>
        <v>0</v>
      </c>
      <c r="AO485" s="107">
        <f t="shared" si="865"/>
        <v>0</v>
      </c>
      <c r="AP485" s="107">
        <f t="shared" si="865"/>
        <v>0</v>
      </c>
      <c r="AQ485" s="107">
        <f t="shared" si="865"/>
        <v>0</v>
      </c>
      <c r="AR485" s="107">
        <f t="shared" si="865"/>
        <v>0</v>
      </c>
      <c r="AS485" s="107">
        <f t="shared" si="865"/>
        <v>0</v>
      </c>
      <c r="AT485" s="107">
        <f t="shared" si="865"/>
        <v>0</v>
      </c>
      <c r="AU485" s="107">
        <f t="shared" ref="AU485:AZ485" si="866">+AU484/AU$412</f>
        <v>0</v>
      </c>
      <c r="AV485" s="107">
        <f t="shared" si="866"/>
        <v>0</v>
      </c>
      <c r="AW485" s="107">
        <f t="shared" si="866"/>
        <v>0</v>
      </c>
      <c r="AX485" s="107">
        <f t="shared" si="866"/>
        <v>0</v>
      </c>
      <c r="AY485" s="107">
        <f t="shared" si="866"/>
        <v>0</v>
      </c>
      <c r="AZ485" s="107">
        <f t="shared" si="866"/>
        <v>0</v>
      </c>
      <c r="BA485" s="107">
        <f t="shared" ref="BA485:BI485" si="867">+BA484/BA$412</f>
        <v>0</v>
      </c>
      <c r="BB485" s="107">
        <f t="shared" si="867"/>
        <v>0</v>
      </c>
      <c r="BC485" s="107">
        <f t="shared" si="867"/>
        <v>0</v>
      </c>
      <c r="BD485" s="107">
        <f t="shared" si="867"/>
        <v>0</v>
      </c>
      <c r="BE485" s="107">
        <f t="shared" si="867"/>
        <v>0</v>
      </c>
      <c r="BF485" s="107">
        <f t="shared" si="867"/>
        <v>0</v>
      </c>
      <c r="BG485" s="107">
        <f t="shared" si="867"/>
        <v>0</v>
      </c>
      <c r="BH485" s="107">
        <f t="shared" si="867"/>
        <v>0</v>
      </c>
      <c r="BI485" s="107">
        <f t="shared" si="867"/>
        <v>0</v>
      </c>
      <c r="BJ485" s="107">
        <f t="shared" ref="BJ485" si="868">+BJ484/BJ$412</f>
        <v>0</v>
      </c>
      <c r="BK485" s="107"/>
      <c r="BL485" s="107"/>
      <c r="BM485" s="107"/>
      <c r="BN485" s="107"/>
      <c r="BO485" s="107"/>
      <c r="BP485" s="107"/>
      <c r="BQ485" s="107">
        <f t="shared" si="865"/>
        <v>0</v>
      </c>
      <c r="BR485" s="107">
        <f t="shared" si="865"/>
        <v>0</v>
      </c>
      <c r="BS485" s="107">
        <f t="shared" si="865"/>
        <v>0</v>
      </c>
      <c r="BT485" s="107">
        <f t="shared" si="865"/>
        <v>0</v>
      </c>
      <c r="BU485" s="107">
        <f t="shared" si="865"/>
        <v>1.8862840204796551E-3</v>
      </c>
      <c r="BV485" s="107">
        <f t="shared" si="865"/>
        <v>2.9671841226174101E-2</v>
      </c>
      <c r="BW485" s="107">
        <f t="shared" si="865"/>
        <v>1.1814024390243903E-2</v>
      </c>
      <c r="BX485" s="107">
        <f t="shared" si="865"/>
        <v>4.5724370287181133E-3</v>
      </c>
      <c r="BY485" s="107">
        <f t="shared" si="865"/>
        <v>4.2951971885982036E-3</v>
      </c>
      <c r="BZ485" s="107">
        <f t="shared" si="865"/>
        <v>2.9307475215283305E-3</v>
      </c>
      <c r="CA485" s="107">
        <f t="shared" si="865"/>
        <v>0</v>
      </c>
      <c r="CB485" s="107">
        <f t="shared" si="865"/>
        <v>0</v>
      </c>
      <c r="CC485" s="107">
        <f t="shared" si="865"/>
        <v>0</v>
      </c>
      <c r="CD485" s="107">
        <f t="shared" si="865"/>
        <v>0</v>
      </c>
      <c r="CE485" s="107">
        <f>+CE484/CE$412</f>
        <v>0</v>
      </c>
      <c r="CF485" s="107">
        <f>+CF484/CF$412</f>
        <v>0</v>
      </c>
      <c r="CG485" s="107">
        <f>+CG484/CG$412</f>
        <v>0</v>
      </c>
      <c r="CH485" s="107"/>
      <c r="CI485" s="107"/>
    </row>
    <row r="487" spans="2:87" x14ac:dyDescent="0.2">
      <c r="B487" s="62" t="s">
        <v>19</v>
      </c>
    </row>
    <row r="488" spans="2:87" x14ac:dyDescent="0.2">
      <c r="B488" s="70" t="s">
        <v>142</v>
      </c>
    </row>
    <row r="489" spans="2:87" x14ac:dyDescent="0.2">
      <c r="B489" s="70" t="s">
        <v>119</v>
      </c>
      <c r="D489" s="81">
        <v>0</v>
      </c>
      <c r="E489" s="81">
        <v>0</v>
      </c>
      <c r="F489" s="81">
        <v>0</v>
      </c>
      <c r="G489" s="81">
        <v>0</v>
      </c>
      <c r="H489" s="81">
        <v>0</v>
      </c>
      <c r="I489" s="81">
        <v>0</v>
      </c>
      <c r="J489" s="81">
        <v>0</v>
      </c>
      <c r="K489" s="81">
        <v>0</v>
      </c>
      <c r="L489" s="81">
        <v>0</v>
      </c>
      <c r="M489" s="81">
        <v>60</v>
      </c>
      <c r="N489" s="81">
        <v>1</v>
      </c>
      <c r="O489" s="81">
        <v>2</v>
      </c>
      <c r="P489" s="81">
        <v>0</v>
      </c>
      <c r="Q489" s="81">
        <v>0</v>
      </c>
      <c r="R489" s="81">
        <v>0</v>
      </c>
      <c r="S489" s="81">
        <v>0</v>
      </c>
      <c r="T489" s="81">
        <v>0</v>
      </c>
      <c r="U489" s="81">
        <v>0</v>
      </c>
      <c r="V489" s="81">
        <v>0</v>
      </c>
      <c r="W489" s="81">
        <v>0</v>
      </c>
      <c r="X489" s="81">
        <v>0</v>
      </c>
      <c r="Y489" s="81">
        <v>0</v>
      </c>
      <c r="Z489" s="81">
        <v>0</v>
      </c>
      <c r="AA489" s="81">
        <v>0</v>
      </c>
      <c r="AB489" s="81">
        <v>0</v>
      </c>
      <c r="AC489" s="81">
        <v>0</v>
      </c>
      <c r="AD489" s="81">
        <v>0</v>
      </c>
      <c r="AE489" s="81">
        <v>0</v>
      </c>
      <c r="AF489" s="81">
        <v>0</v>
      </c>
      <c r="AG489" s="81">
        <v>0</v>
      </c>
      <c r="AH489" s="81">
        <v>0</v>
      </c>
      <c r="AI489" s="81">
        <v>0</v>
      </c>
      <c r="AJ489" s="81">
        <v>0</v>
      </c>
      <c r="AK489" s="81">
        <v>0</v>
      </c>
      <c r="AL489" s="81">
        <v>0</v>
      </c>
      <c r="AM489" s="81">
        <v>0</v>
      </c>
      <c r="AN489" s="81">
        <v>0</v>
      </c>
      <c r="AO489" s="81">
        <v>0</v>
      </c>
      <c r="AP489" s="81">
        <v>0</v>
      </c>
      <c r="AQ489" s="81">
        <v>0</v>
      </c>
      <c r="AR489" s="81">
        <v>0</v>
      </c>
      <c r="AS489" s="81">
        <v>0</v>
      </c>
      <c r="AT489" s="81">
        <v>0</v>
      </c>
      <c r="AU489" s="81">
        <v>0</v>
      </c>
      <c r="AV489" s="81">
        <v>0</v>
      </c>
      <c r="AW489" s="81">
        <v>0</v>
      </c>
      <c r="AX489" s="81">
        <v>0</v>
      </c>
      <c r="AY489" s="81">
        <v>0</v>
      </c>
      <c r="AZ489" s="81">
        <v>0</v>
      </c>
      <c r="BA489" s="81">
        <v>0</v>
      </c>
      <c r="BB489" s="81">
        <v>0</v>
      </c>
      <c r="BC489" s="81">
        <v>0</v>
      </c>
      <c r="BD489" s="81">
        <v>0</v>
      </c>
      <c r="BE489" s="81">
        <v>0</v>
      </c>
      <c r="BF489" s="81">
        <v>0</v>
      </c>
      <c r="BG489" s="81">
        <v>0</v>
      </c>
      <c r="BH489" s="81">
        <v>0</v>
      </c>
      <c r="BI489" s="81">
        <v>0</v>
      </c>
      <c r="BJ489" s="81">
        <v>0</v>
      </c>
      <c r="BK489" s="81"/>
      <c r="BL489" s="81"/>
      <c r="BM489" s="81"/>
      <c r="BN489" s="81"/>
      <c r="BO489" s="81"/>
      <c r="BQ489" s="81">
        <v>0</v>
      </c>
      <c r="BR489" s="81">
        <v>0</v>
      </c>
      <c r="BS489" s="81">
        <v>0</v>
      </c>
      <c r="BT489" s="81">
        <v>0</v>
      </c>
      <c r="BU489" s="64">
        <f>+SUM(H489:K489)</f>
        <v>0</v>
      </c>
      <c r="BV489" s="64">
        <f>+SUM(L489:O489)</f>
        <v>63</v>
      </c>
      <c r="BW489" s="64">
        <f>+SUM(P489:S489)</f>
        <v>0</v>
      </c>
      <c r="BX489" s="64">
        <f>+SUM(T489:W489)</f>
        <v>0</v>
      </c>
      <c r="BY489" s="64">
        <f>+SUM(X489:AA489)</f>
        <v>0</v>
      </c>
      <c r="BZ489" s="64">
        <f>+SUM(AB489:AE489)</f>
        <v>0</v>
      </c>
      <c r="CA489" s="64">
        <f>+SUM(AF489:AI489)</f>
        <v>0</v>
      </c>
      <c r="CB489" s="64">
        <f>+SUM(AJ489:AM489)</f>
        <v>0</v>
      </c>
      <c r="CC489" s="64">
        <f>+SUM(AN489:AQ489)</f>
        <v>0</v>
      </c>
      <c r="CD489" s="64">
        <f>+SUM(AR489:AU489)</f>
        <v>0</v>
      </c>
      <c r="CE489" s="64">
        <f>+SUM(AV489:AY489)</f>
        <v>0</v>
      </c>
      <c r="CF489" s="64">
        <f>+SUM(AZ489:BC489)</f>
        <v>0</v>
      </c>
      <c r="CG489" s="64">
        <f>+SUM(BD489:BG489)</f>
        <v>0</v>
      </c>
      <c r="CH489" s="64"/>
      <c r="CI489" s="64"/>
    </row>
    <row r="490" spans="2:87" x14ac:dyDescent="0.2">
      <c r="B490" s="70" t="s">
        <v>121</v>
      </c>
      <c r="D490" s="81">
        <v>0</v>
      </c>
      <c r="E490" s="81">
        <v>0</v>
      </c>
      <c r="F490" s="81">
        <v>0</v>
      </c>
      <c r="G490" s="81">
        <v>0</v>
      </c>
      <c r="H490" s="81">
        <v>0</v>
      </c>
      <c r="I490" s="81">
        <v>0</v>
      </c>
      <c r="J490" s="81">
        <v>0</v>
      </c>
      <c r="K490" s="81">
        <v>0</v>
      </c>
      <c r="L490" s="81">
        <v>0</v>
      </c>
      <c r="M490" s="81">
        <v>473</v>
      </c>
      <c r="N490" s="81">
        <v>17</v>
      </c>
      <c r="O490" s="81">
        <v>14</v>
      </c>
      <c r="P490" s="81">
        <v>0</v>
      </c>
      <c r="Q490" s="81">
        <v>0</v>
      </c>
      <c r="R490" s="81">
        <v>0</v>
      </c>
      <c r="S490" s="81">
        <v>0</v>
      </c>
      <c r="T490" s="81">
        <v>0</v>
      </c>
      <c r="U490" s="81">
        <v>0</v>
      </c>
      <c r="V490" s="81">
        <v>0</v>
      </c>
      <c r="W490" s="81">
        <v>0</v>
      </c>
      <c r="X490" s="81">
        <v>0</v>
      </c>
      <c r="Y490" s="81">
        <v>0</v>
      </c>
      <c r="Z490" s="81">
        <v>0</v>
      </c>
      <c r="AA490" s="81">
        <v>0</v>
      </c>
      <c r="AB490" s="81">
        <v>0</v>
      </c>
      <c r="AC490" s="81">
        <v>0</v>
      </c>
      <c r="AD490" s="81">
        <v>0</v>
      </c>
      <c r="AE490" s="81">
        <v>0</v>
      </c>
      <c r="AF490" s="81">
        <v>0</v>
      </c>
      <c r="AG490" s="81">
        <v>0</v>
      </c>
      <c r="AH490" s="81">
        <v>0</v>
      </c>
      <c r="AI490" s="81">
        <v>0</v>
      </c>
      <c r="AJ490" s="81">
        <v>0</v>
      </c>
      <c r="AK490" s="81">
        <v>0</v>
      </c>
      <c r="AL490" s="81">
        <v>0</v>
      </c>
      <c r="AM490" s="81">
        <v>0</v>
      </c>
      <c r="AN490" s="81">
        <v>0</v>
      </c>
      <c r="AO490" s="81">
        <v>0</v>
      </c>
      <c r="AP490" s="81">
        <v>0</v>
      </c>
      <c r="AQ490" s="81">
        <v>0</v>
      </c>
      <c r="AR490" s="81">
        <v>0</v>
      </c>
      <c r="AS490" s="81">
        <v>0</v>
      </c>
      <c r="AT490" s="81">
        <v>0</v>
      </c>
      <c r="AU490" s="81">
        <v>0</v>
      </c>
      <c r="AV490" s="81">
        <v>0</v>
      </c>
      <c r="AW490" s="81">
        <v>0</v>
      </c>
      <c r="AX490" s="81">
        <v>0</v>
      </c>
      <c r="AY490" s="81">
        <v>0</v>
      </c>
      <c r="AZ490" s="81">
        <v>0</v>
      </c>
      <c r="BA490" s="81">
        <v>0</v>
      </c>
      <c r="BB490" s="81">
        <v>0</v>
      </c>
      <c r="BC490" s="81">
        <v>0</v>
      </c>
      <c r="BD490" s="81">
        <v>0</v>
      </c>
      <c r="BE490" s="81">
        <v>0</v>
      </c>
      <c r="BF490" s="81">
        <v>0</v>
      </c>
      <c r="BG490" s="81">
        <v>0</v>
      </c>
      <c r="BH490" s="81">
        <v>0</v>
      </c>
      <c r="BI490" s="81">
        <v>0</v>
      </c>
      <c r="BJ490" s="81">
        <v>0</v>
      </c>
      <c r="BK490" s="81"/>
      <c r="BL490" s="81"/>
      <c r="BM490" s="81"/>
      <c r="BN490" s="81"/>
      <c r="BO490" s="81"/>
      <c r="BQ490" s="81">
        <v>0</v>
      </c>
      <c r="BR490" s="81">
        <v>0</v>
      </c>
      <c r="BS490" s="81">
        <v>0</v>
      </c>
      <c r="BT490" s="81">
        <v>0</v>
      </c>
      <c r="BU490" s="64">
        <f>+SUM(H490:K490)</f>
        <v>0</v>
      </c>
      <c r="BV490" s="64">
        <f>+SUM(L490:O490)</f>
        <v>504</v>
      </c>
      <c r="BW490" s="64">
        <f>+SUM(P490:S490)</f>
        <v>0</v>
      </c>
      <c r="BX490" s="64">
        <f>+SUM(T490:W490)</f>
        <v>0</v>
      </c>
      <c r="BY490" s="64">
        <f>+SUM(X490:AA490)</f>
        <v>0</v>
      </c>
      <c r="BZ490" s="64">
        <f>+SUM(AB490:AE490)</f>
        <v>0</v>
      </c>
      <c r="CA490" s="64">
        <f>+SUM(AF490:AI490)</f>
        <v>0</v>
      </c>
      <c r="CB490" s="64">
        <f>+SUM(AJ490:AM490)</f>
        <v>0</v>
      </c>
      <c r="CC490" s="64">
        <f>+SUM(AN490:AQ490)</f>
        <v>0</v>
      </c>
      <c r="CD490" s="64">
        <f>+SUM(AR490:AU490)</f>
        <v>0</v>
      </c>
      <c r="CE490" s="64">
        <f>+SUM(AV490:AY490)</f>
        <v>0</v>
      </c>
      <c r="CF490" s="64">
        <f>+SUM(AZ490:BC490)</f>
        <v>0</v>
      </c>
      <c r="CG490" s="64">
        <f>+SUM(BD490:BG490)</f>
        <v>0</v>
      </c>
      <c r="CH490" s="64"/>
      <c r="CI490" s="64"/>
    </row>
    <row r="491" spans="2:87" x14ac:dyDescent="0.2">
      <c r="B491" s="70" t="s">
        <v>122</v>
      </c>
      <c r="D491" s="81">
        <v>0</v>
      </c>
      <c r="E491" s="81">
        <v>0</v>
      </c>
      <c r="F491" s="81">
        <v>0</v>
      </c>
      <c r="G491" s="81">
        <v>0</v>
      </c>
      <c r="H491" s="81">
        <v>0</v>
      </c>
      <c r="I491" s="81">
        <v>0</v>
      </c>
      <c r="J491" s="81">
        <v>0</v>
      </c>
      <c r="K491" s="81">
        <v>0</v>
      </c>
      <c r="L491" s="81">
        <v>0</v>
      </c>
      <c r="M491" s="81">
        <v>208</v>
      </c>
      <c r="N491" s="81">
        <v>4</v>
      </c>
      <c r="O491" s="81">
        <v>4</v>
      </c>
      <c r="P491" s="81">
        <v>0</v>
      </c>
      <c r="Q491" s="81">
        <v>0</v>
      </c>
      <c r="R491" s="81">
        <v>0</v>
      </c>
      <c r="S491" s="81">
        <v>0</v>
      </c>
      <c r="T491" s="81">
        <v>0</v>
      </c>
      <c r="U491" s="81">
        <v>0</v>
      </c>
      <c r="V491" s="81">
        <v>0</v>
      </c>
      <c r="W491" s="81">
        <v>0</v>
      </c>
      <c r="X491" s="81">
        <v>0</v>
      </c>
      <c r="Y491" s="81">
        <v>0</v>
      </c>
      <c r="Z491" s="81">
        <v>0</v>
      </c>
      <c r="AA491" s="81">
        <v>0</v>
      </c>
      <c r="AB491" s="81">
        <v>0</v>
      </c>
      <c r="AC491" s="81">
        <v>0</v>
      </c>
      <c r="AD491" s="81">
        <v>0</v>
      </c>
      <c r="AE491" s="81">
        <v>0</v>
      </c>
      <c r="AF491" s="81">
        <v>0</v>
      </c>
      <c r="AG491" s="81">
        <v>0</v>
      </c>
      <c r="AH491" s="81">
        <v>0</v>
      </c>
      <c r="AI491" s="81">
        <v>0</v>
      </c>
      <c r="AJ491" s="81">
        <v>0</v>
      </c>
      <c r="AK491" s="81">
        <v>0</v>
      </c>
      <c r="AL491" s="81">
        <v>0</v>
      </c>
      <c r="AM491" s="81">
        <v>0</v>
      </c>
      <c r="AN491" s="81">
        <v>0</v>
      </c>
      <c r="AO491" s="81">
        <v>0</v>
      </c>
      <c r="AP491" s="81">
        <v>0</v>
      </c>
      <c r="AQ491" s="81">
        <v>0</v>
      </c>
      <c r="AR491" s="81">
        <v>0</v>
      </c>
      <c r="AS491" s="81">
        <v>0</v>
      </c>
      <c r="AT491" s="81">
        <v>0</v>
      </c>
      <c r="AU491" s="81">
        <v>0</v>
      </c>
      <c r="AV491" s="81">
        <v>0</v>
      </c>
      <c r="AW491" s="81">
        <v>0</v>
      </c>
      <c r="AX491" s="81">
        <v>0</v>
      </c>
      <c r="AY491" s="81">
        <v>0</v>
      </c>
      <c r="AZ491" s="81">
        <v>0</v>
      </c>
      <c r="BA491" s="81">
        <v>0</v>
      </c>
      <c r="BB491" s="81">
        <v>0</v>
      </c>
      <c r="BC491" s="81">
        <v>0</v>
      </c>
      <c r="BD491" s="81">
        <v>0</v>
      </c>
      <c r="BE491" s="81">
        <v>0</v>
      </c>
      <c r="BF491" s="81">
        <v>0</v>
      </c>
      <c r="BG491" s="81">
        <v>0</v>
      </c>
      <c r="BH491" s="81">
        <v>0</v>
      </c>
      <c r="BI491" s="81">
        <v>0</v>
      </c>
      <c r="BJ491" s="81">
        <v>0</v>
      </c>
      <c r="BK491" s="81"/>
      <c r="BL491" s="81"/>
      <c r="BM491" s="81"/>
      <c r="BN491" s="81"/>
      <c r="BO491" s="81"/>
      <c r="BQ491" s="81">
        <v>0</v>
      </c>
      <c r="BR491" s="81">
        <v>0</v>
      </c>
      <c r="BS491" s="81">
        <v>0</v>
      </c>
      <c r="BT491" s="81">
        <v>0</v>
      </c>
      <c r="BU491" s="64">
        <f>+SUM(H491:K491)</f>
        <v>0</v>
      </c>
      <c r="BV491" s="64">
        <f>+SUM(L491:O491)</f>
        <v>216</v>
      </c>
      <c r="BW491" s="64">
        <f>+SUM(P491:S491)</f>
        <v>0</v>
      </c>
      <c r="BX491" s="64">
        <f>+SUM(T491:W491)</f>
        <v>0</v>
      </c>
      <c r="BY491" s="64">
        <f>+SUM(X491:AA491)</f>
        <v>0</v>
      </c>
      <c r="BZ491" s="64">
        <f>+SUM(AB491:AE491)</f>
        <v>0</v>
      </c>
      <c r="CA491" s="64">
        <f>+SUM(AF491:AI491)</f>
        <v>0</v>
      </c>
      <c r="CB491" s="64">
        <f>+SUM(AJ491:AM491)</f>
        <v>0</v>
      </c>
      <c r="CC491" s="64">
        <f>+SUM(AN491:AQ491)</f>
        <v>0</v>
      </c>
      <c r="CD491" s="64">
        <f>+SUM(AR491:AU491)</f>
        <v>0</v>
      </c>
      <c r="CE491" s="64">
        <f>+SUM(AV491:AY491)</f>
        <v>0</v>
      </c>
      <c r="CF491" s="64">
        <f>+SUM(AZ491:BC491)</f>
        <v>0</v>
      </c>
      <c r="CG491" s="64">
        <f>+SUM(BD491:BG491)</f>
        <v>0</v>
      </c>
      <c r="CH491" s="64"/>
      <c r="CI491" s="64"/>
    </row>
    <row r="492" spans="2:87" ht="13.5" x14ac:dyDescent="0.35">
      <c r="B492" s="70" t="s">
        <v>123</v>
      </c>
      <c r="D492" s="82">
        <v>0</v>
      </c>
      <c r="E492" s="82">
        <v>0</v>
      </c>
      <c r="F492" s="82">
        <v>0</v>
      </c>
      <c r="G492" s="82">
        <v>0</v>
      </c>
      <c r="H492" s="82">
        <v>0</v>
      </c>
      <c r="I492" s="82">
        <v>0</v>
      </c>
      <c r="J492" s="82">
        <v>0</v>
      </c>
      <c r="K492" s="82">
        <v>0</v>
      </c>
      <c r="L492" s="82">
        <v>0</v>
      </c>
      <c r="M492" s="82">
        <v>245</v>
      </c>
      <c r="N492" s="82">
        <v>6</v>
      </c>
      <c r="O492" s="82">
        <v>4</v>
      </c>
      <c r="P492" s="82">
        <v>0</v>
      </c>
      <c r="Q492" s="82">
        <v>0</v>
      </c>
      <c r="R492" s="82">
        <v>0</v>
      </c>
      <c r="S492" s="82">
        <v>0</v>
      </c>
      <c r="T492" s="82">
        <v>0</v>
      </c>
      <c r="U492" s="82">
        <v>0</v>
      </c>
      <c r="V492" s="82">
        <v>0</v>
      </c>
      <c r="W492" s="82">
        <v>0</v>
      </c>
      <c r="X492" s="82">
        <v>0</v>
      </c>
      <c r="Y492" s="82">
        <v>0</v>
      </c>
      <c r="Z492" s="82">
        <v>0</v>
      </c>
      <c r="AA492" s="82">
        <v>0</v>
      </c>
      <c r="AB492" s="82">
        <v>0</v>
      </c>
      <c r="AC492" s="82">
        <v>0</v>
      </c>
      <c r="AD492" s="82">
        <v>0</v>
      </c>
      <c r="AE492" s="82">
        <v>0</v>
      </c>
      <c r="AF492" s="82">
        <v>0</v>
      </c>
      <c r="AG492" s="82">
        <v>0</v>
      </c>
      <c r="AH492" s="82">
        <v>0</v>
      </c>
      <c r="AI492" s="82">
        <v>0</v>
      </c>
      <c r="AJ492" s="82">
        <v>0</v>
      </c>
      <c r="AK492" s="82">
        <v>0</v>
      </c>
      <c r="AL492" s="82">
        <v>0</v>
      </c>
      <c r="AM492" s="82">
        <v>0</v>
      </c>
      <c r="AN492" s="82">
        <v>0</v>
      </c>
      <c r="AO492" s="82">
        <v>0</v>
      </c>
      <c r="AP492" s="82">
        <v>0</v>
      </c>
      <c r="AQ492" s="82">
        <v>0</v>
      </c>
      <c r="AR492" s="82">
        <v>0</v>
      </c>
      <c r="AS492" s="82">
        <v>0</v>
      </c>
      <c r="AT492" s="82">
        <v>0</v>
      </c>
      <c r="AU492" s="82">
        <v>0</v>
      </c>
      <c r="AV492" s="82">
        <v>0</v>
      </c>
      <c r="AW492" s="82">
        <v>0</v>
      </c>
      <c r="AX492" s="82">
        <v>0</v>
      </c>
      <c r="AY492" s="82">
        <v>0</v>
      </c>
      <c r="AZ492" s="82">
        <v>0</v>
      </c>
      <c r="BA492" s="82">
        <v>0</v>
      </c>
      <c r="BB492" s="82">
        <v>0</v>
      </c>
      <c r="BC492" s="82">
        <v>0</v>
      </c>
      <c r="BD492" s="82">
        <v>0</v>
      </c>
      <c r="BE492" s="82">
        <v>0</v>
      </c>
      <c r="BF492" s="82">
        <v>0</v>
      </c>
      <c r="BG492" s="82">
        <v>0</v>
      </c>
      <c r="BH492" s="82">
        <v>0</v>
      </c>
      <c r="BI492" s="82">
        <v>0</v>
      </c>
      <c r="BJ492" s="82">
        <v>0</v>
      </c>
      <c r="BK492" s="82"/>
      <c r="BL492" s="82"/>
      <c r="BM492" s="82"/>
      <c r="BN492" s="82"/>
      <c r="BO492" s="82"/>
      <c r="BQ492" s="82">
        <v>0</v>
      </c>
      <c r="BR492" s="82">
        <v>0</v>
      </c>
      <c r="BS492" s="82">
        <v>0</v>
      </c>
      <c r="BT492" s="82">
        <v>0</v>
      </c>
      <c r="BU492" s="65">
        <f>+SUM(H492:K492)</f>
        <v>0</v>
      </c>
      <c r="BV492" s="65">
        <f>+SUM(L492:O492)</f>
        <v>255</v>
      </c>
      <c r="BW492" s="65">
        <f>+SUM(P492:S492)</f>
        <v>0</v>
      </c>
      <c r="BX492" s="65">
        <f>+SUM(T492:W492)</f>
        <v>0</v>
      </c>
      <c r="BY492" s="65">
        <f>+SUM(X492:AA492)</f>
        <v>0</v>
      </c>
      <c r="BZ492" s="65">
        <f>+SUM(AB492:AE492)</f>
        <v>0</v>
      </c>
      <c r="CA492" s="65">
        <f>+SUM(AF492:AI492)</f>
        <v>0</v>
      </c>
      <c r="CB492" s="65">
        <f>+SUM(AJ492:AM492)</f>
        <v>0</v>
      </c>
      <c r="CC492" s="65">
        <f>+SUM(AN492:AQ492)</f>
        <v>0</v>
      </c>
      <c r="CD492" s="65">
        <f>+SUM(AR492:AU492)</f>
        <v>0</v>
      </c>
      <c r="CE492" s="65">
        <f>+SUM(AV492:AY492)</f>
        <v>0</v>
      </c>
      <c r="CF492" s="65">
        <f>+SUM(AZ492:BC492)</f>
        <v>0</v>
      </c>
      <c r="CG492" s="65">
        <f>+SUM(BD492:BG492)</f>
        <v>0</v>
      </c>
      <c r="CH492" s="65"/>
      <c r="CI492" s="65"/>
    </row>
    <row r="493" spans="2:87" x14ac:dyDescent="0.2">
      <c r="B493" s="66" t="s">
        <v>242</v>
      </c>
      <c r="D493" s="64">
        <f t="shared" ref="D493:CB493" si="869">SUM(D489:D492)</f>
        <v>0</v>
      </c>
      <c r="E493" s="64">
        <f t="shared" si="869"/>
        <v>0</v>
      </c>
      <c r="F493" s="64">
        <f t="shared" si="869"/>
        <v>0</v>
      </c>
      <c r="G493" s="64">
        <f t="shared" si="869"/>
        <v>0</v>
      </c>
      <c r="H493" s="64">
        <f t="shared" si="869"/>
        <v>0</v>
      </c>
      <c r="I493" s="64">
        <f t="shared" si="869"/>
        <v>0</v>
      </c>
      <c r="J493" s="64">
        <f t="shared" si="869"/>
        <v>0</v>
      </c>
      <c r="K493" s="64">
        <f t="shared" si="869"/>
        <v>0</v>
      </c>
      <c r="L493" s="64">
        <f t="shared" si="869"/>
        <v>0</v>
      </c>
      <c r="M493" s="64">
        <f t="shared" si="869"/>
        <v>986</v>
      </c>
      <c r="N493" s="64">
        <f t="shared" si="869"/>
        <v>28</v>
      </c>
      <c r="O493" s="64">
        <f t="shared" si="869"/>
        <v>24</v>
      </c>
      <c r="P493" s="64">
        <f t="shared" si="869"/>
        <v>0</v>
      </c>
      <c r="Q493" s="64">
        <f t="shared" si="869"/>
        <v>0</v>
      </c>
      <c r="R493" s="64">
        <f t="shared" si="869"/>
        <v>0</v>
      </c>
      <c r="S493" s="64">
        <f t="shared" si="869"/>
        <v>0</v>
      </c>
      <c r="T493" s="64">
        <f t="shared" si="869"/>
        <v>0</v>
      </c>
      <c r="U493" s="64">
        <f t="shared" si="869"/>
        <v>0</v>
      </c>
      <c r="V493" s="64">
        <f t="shared" si="869"/>
        <v>0</v>
      </c>
      <c r="W493" s="64">
        <f t="shared" si="869"/>
        <v>0</v>
      </c>
      <c r="X493" s="64">
        <f t="shared" si="869"/>
        <v>0</v>
      </c>
      <c r="Y493" s="64">
        <f t="shared" si="869"/>
        <v>0</v>
      </c>
      <c r="Z493" s="64">
        <f t="shared" si="869"/>
        <v>0</v>
      </c>
      <c r="AA493" s="64">
        <f t="shared" si="869"/>
        <v>0</v>
      </c>
      <c r="AB493" s="64">
        <f t="shared" si="869"/>
        <v>0</v>
      </c>
      <c r="AC493" s="64">
        <f t="shared" si="869"/>
        <v>0</v>
      </c>
      <c r="AD493" s="64">
        <f t="shared" si="869"/>
        <v>0</v>
      </c>
      <c r="AE493" s="64">
        <f t="shared" si="869"/>
        <v>0</v>
      </c>
      <c r="AF493" s="64">
        <f t="shared" si="869"/>
        <v>0</v>
      </c>
      <c r="AG493" s="64">
        <f t="shared" si="869"/>
        <v>0</v>
      </c>
      <c r="AH493" s="64">
        <f t="shared" si="869"/>
        <v>0</v>
      </c>
      <c r="AI493" s="64">
        <f t="shared" si="869"/>
        <v>0</v>
      </c>
      <c r="AJ493" s="64">
        <f t="shared" si="869"/>
        <v>0</v>
      </c>
      <c r="AK493" s="64">
        <f t="shared" si="869"/>
        <v>0</v>
      </c>
      <c r="AL493" s="64">
        <f t="shared" si="869"/>
        <v>0</v>
      </c>
      <c r="AM493" s="64">
        <f t="shared" si="869"/>
        <v>0</v>
      </c>
      <c r="AN493" s="64">
        <f t="shared" si="869"/>
        <v>0</v>
      </c>
      <c r="AO493" s="64">
        <f t="shared" si="869"/>
        <v>0</v>
      </c>
      <c r="AP493" s="64">
        <f t="shared" si="869"/>
        <v>0</v>
      </c>
      <c r="AQ493" s="64">
        <f t="shared" si="869"/>
        <v>0</v>
      </c>
      <c r="AR493" s="64">
        <f t="shared" si="869"/>
        <v>0</v>
      </c>
      <c r="AS493" s="64">
        <f t="shared" si="869"/>
        <v>0</v>
      </c>
      <c r="AT493" s="64">
        <f t="shared" si="869"/>
        <v>0</v>
      </c>
      <c r="AU493" s="64">
        <f t="shared" ref="AU493:AZ493" si="870">SUM(AU489:AU492)</f>
        <v>0</v>
      </c>
      <c r="AV493" s="64">
        <f t="shared" si="870"/>
        <v>0</v>
      </c>
      <c r="AW493" s="64">
        <f t="shared" si="870"/>
        <v>0</v>
      </c>
      <c r="AX493" s="64">
        <f t="shared" si="870"/>
        <v>0</v>
      </c>
      <c r="AY493" s="64">
        <f t="shared" si="870"/>
        <v>0</v>
      </c>
      <c r="AZ493" s="64">
        <f t="shared" si="870"/>
        <v>0</v>
      </c>
      <c r="BA493" s="64">
        <f t="shared" ref="BA493:BI493" si="871">SUM(BA489:BA492)</f>
        <v>0</v>
      </c>
      <c r="BB493" s="64">
        <f t="shared" si="871"/>
        <v>0</v>
      </c>
      <c r="BC493" s="64">
        <f t="shared" si="871"/>
        <v>0</v>
      </c>
      <c r="BD493" s="64">
        <f t="shared" si="871"/>
        <v>0</v>
      </c>
      <c r="BE493" s="64">
        <f t="shared" si="871"/>
        <v>0</v>
      </c>
      <c r="BF493" s="64">
        <f t="shared" si="871"/>
        <v>0</v>
      </c>
      <c r="BG493" s="64">
        <f t="shared" si="871"/>
        <v>0</v>
      </c>
      <c r="BH493" s="64">
        <f t="shared" si="871"/>
        <v>0</v>
      </c>
      <c r="BI493" s="64">
        <f t="shared" si="871"/>
        <v>0</v>
      </c>
      <c r="BJ493" s="64">
        <f t="shared" ref="BJ493" si="872">SUM(BJ489:BJ492)</f>
        <v>0</v>
      </c>
      <c r="BK493" s="64"/>
      <c r="BL493" s="64"/>
      <c r="BM493" s="64"/>
      <c r="BN493" s="64"/>
      <c r="BO493" s="64"/>
      <c r="BQ493" s="64">
        <f t="shared" si="869"/>
        <v>0</v>
      </c>
      <c r="BR493" s="64">
        <f t="shared" si="869"/>
        <v>0</v>
      </c>
      <c r="BS493" s="64">
        <f t="shared" si="869"/>
        <v>0</v>
      </c>
      <c r="BT493" s="64">
        <f t="shared" si="869"/>
        <v>0</v>
      </c>
      <c r="BU493" s="64">
        <f t="shared" si="869"/>
        <v>0</v>
      </c>
      <c r="BV493" s="64">
        <f t="shared" si="869"/>
        <v>1038</v>
      </c>
      <c r="BW493" s="64">
        <f t="shared" si="869"/>
        <v>0</v>
      </c>
      <c r="BX493" s="64">
        <f t="shared" si="869"/>
        <v>0</v>
      </c>
      <c r="BY493" s="64">
        <f t="shared" si="869"/>
        <v>0</v>
      </c>
      <c r="BZ493" s="64">
        <f t="shared" si="869"/>
        <v>0</v>
      </c>
      <c r="CA493" s="64">
        <f t="shared" si="869"/>
        <v>0</v>
      </c>
      <c r="CB493" s="64">
        <f t="shared" si="869"/>
        <v>0</v>
      </c>
      <c r="CC493" s="64">
        <f>+SUM(AN493:AQ493)</f>
        <v>0</v>
      </c>
      <c r="CD493" s="64">
        <f>+SUM(AR493:AU493)</f>
        <v>0</v>
      </c>
      <c r="CE493" s="64">
        <f>+SUM(AV493:AY493)</f>
        <v>0</v>
      </c>
      <c r="CF493" s="64">
        <f>+SUM(AZ493:BC493)</f>
        <v>0</v>
      </c>
      <c r="CG493" s="64">
        <f>+SUM(BD493:BG493)</f>
        <v>0</v>
      </c>
      <c r="CH493" s="64"/>
      <c r="CI493" s="64"/>
    </row>
    <row r="494" spans="2:87" x14ac:dyDescent="0.2">
      <c r="B494" s="67" t="s">
        <v>20</v>
      </c>
      <c r="C494" s="107"/>
      <c r="D494" s="107">
        <f>+D493/D$412</f>
        <v>0</v>
      </c>
      <c r="E494" s="107">
        <f t="shared" ref="E494:CD494" si="873">+E493/E$412</f>
        <v>0</v>
      </c>
      <c r="F494" s="107">
        <f t="shared" si="873"/>
        <v>0</v>
      </c>
      <c r="G494" s="107">
        <f t="shared" si="873"/>
        <v>0</v>
      </c>
      <c r="H494" s="107">
        <f t="shared" si="873"/>
        <v>0</v>
      </c>
      <c r="I494" s="107">
        <f t="shared" si="873"/>
        <v>0</v>
      </c>
      <c r="J494" s="107">
        <f t="shared" si="873"/>
        <v>0</v>
      </c>
      <c r="K494" s="107">
        <f t="shared" si="873"/>
        <v>0</v>
      </c>
      <c r="L494" s="107">
        <f t="shared" si="873"/>
        <v>0</v>
      </c>
      <c r="M494" s="107">
        <f t="shared" si="873"/>
        <v>0.83277027027027029</v>
      </c>
      <c r="N494" s="107">
        <f t="shared" si="873"/>
        <v>2.2187004754358162E-2</v>
      </c>
      <c r="O494" s="107">
        <f t="shared" si="873"/>
        <v>1.5141955835962145E-2</v>
      </c>
      <c r="P494" s="107">
        <f t="shared" si="873"/>
        <v>0</v>
      </c>
      <c r="Q494" s="107">
        <f t="shared" si="873"/>
        <v>0</v>
      </c>
      <c r="R494" s="107">
        <f t="shared" si="873"/>
        <v>0</v>
      </c>
      <c r="S494" s="107">
        <f t="shared" si="873"/>
        <v>0</v>
      </c>
      <c r="T494" s="107">
        <f t="shared" si="873"/>
        <v>0</v>
      </c>
      <c r="U494" s="107">
        <f t="shared" si="873"/>
        <v>0</v>
      </c>
      <c r="V494" s="107">
        <f t="shared" si="873"/>
        <v>0</v>
      </c>
      <c r="W494" s="107">
        <f t="shared" si="873"/>
        <v>0</v>
      </c>
      <c r="X494" s="107">
        <f t="shared" si="873"/>
        <v>0</v>
      </c>
      <c r="Y494" s="107">
        <f t="shared" si="873"/>
        <v>0</v>
      </c>
      <c r="Z494" s="107">
        <f t="shared" si="873"/>
        <v>0</v>
      </c>
      <c r="AA494" s="107">
        <f t="shared" si="873"/>
        <v>0</v>
      </c>
      <c r="AB494" s="107">
        <f t="shared" si="873"/>
        <v>0</v>
      </c>
      <c r="AC494" s="107">
        <f t="shared" si="873"/>
        <v>0</v>
      </c>
      <c r="AD494" s="107">
        <f t="shared" si="873"/>
        <v>0</v>
      </c>
      <c r="AE494" s="107">
        <f t="shared" si="873"/>
        <v>0</v>
      </c>
      <c r="AF494" s="107">
        <f t="shared" si="873"/>
        <v>0</v>
      </c>
      <c r="AG494" s="107">
        <f t="shared" si="873"/>
        <v>0</v>
      </c>
      <c r="AH494" s="107">
        <f t="shared" si="873"/>
        <v>0</v>
      </c>
      <c r="AI494" s="107">
        <f t="shared" si="873"/>
        <v>0</v>
      </c>
      <c r="AJ494" s="107">
        <f t="shared" si="873"/>
        <v>0</v>
      </c>
      <c r="AK494" s="107">
        <f t="shared" si="873"/>
        <v>0</v>
      </c>
      <c r="AL494" s="107">
        <f t="shared" si="873"/>
        <v>0</v>
      </c>
      <c r="AM494" s="107">
        <f t="shared" si="873"/>
        <v>0</v>
      </c>
      <c r="AN494" s="107">
        <f t="shared" si="873"/>
        <v>0</v>
      </c>
      <c r="AO494" s="107">
        <f t="shared" si="873"/>
        <v>0</v>
      </c>
      <c r="AP494" s="107">
        <f t="shared" si="873"/>
        <v>0</v>
      </c>
      <c r="AQ494" s="107">
        <f t="shared" si="873"/>
        <v>0</v>
      </c>
      <c r="AR494" s="107">
        <f t="shared" si="873"/>
        <v>0</v>
      </c>
      <c r="AS494" s="107">
        <f t="shared" si="873"/>
        <v>0</v>
      </c>
      <c r="AT494" s="107">
        <f t="shared" si="873"/>
        <v>0</v>
      </c>
      <c r="AU494" s="107">
        <f t="shared" ref="AU494:AZ494" si="874">+AU493/AU$412</f>
        <v>0</v>
      </c>
      <c r="AV494" s="107">
        <f t="shared" si="874"/>
        <v>0</v>
      </c>
      <c r="AW494" s="107">
        <f t="shared" si="874"/>
        <v>0</v>
      </c>
      <c r="AX494" s="107">
        <f t="shared" si="874"/>
        <v>0</v>
      </c>
      <c r="AY494" s="107">
        <f t="shared" si="874"/>
        <v>0</v>
      </c>
      <c r="AZ494" s="107">
        <f t="shared" si="874"/>
        <v>0</v>
      </c>
      <c r="BA494" s="107">
        <f t="shared" ref="BA494:BI494" si="875">+BA493/BA$412</f>
        <v>0</v>
      </c>
      <c r="BB494" s="107">
        <f t="shared" si="875"/>
        <v>0</v>
      </c>
      <c r="BC494" s="107">
        <f t="shared" si="875"/>
        <v>0</v>
      </c>
      <c r="BD494" s="107">
        <f t="shared" si="875"/>
        <v>0</v>
      </c>
      <c r="BE494" s="107">
        <f t="shared" si="875"/>
        <v>0</v>
      </c>
      <c r="BF494" s="107">
        <f t="shared" si="875"/>
        <v>0</v>
      </c>
      <c r="BG494" s="107">
        <f t="shared" si="875"/>
        <v>0</v>
      </c>
      <c r="BH494" s="107">
        <f t="shared" si="875"/>
        <v>0</v>
      </c>
      <c r="BI494" s="107">
        <f t="shared" si="875"/>
        <v>0</v>
      </c>
      <c r="BJ494" s="107">
        <f t="shared" ref="BJ494" si="876">+BJ493/BJ$412</f>
        <v>0</v>
      </c>
      <c r="BK494" s="107"/>
      <c r="BL494" s="107"/>
      <c r="BM494" s="107"/>
      <c r="BN494" s="107"/>
      <c r="BO494" s="107"/>
      <c r="BP494" s="107"/>
      <c r="BQ494" s="107">
        <f t="shared" si="873"/>
        <v>0</v>
      </c>
      <c r="BR494" s="107">
        <f t="shared" si="873"/>
        <v>0</v>
      </c>
      <c r="BS494" s="107">
        <f t="shared" si="873"/>
        <v>0</v>
      </c>
      <c r="BT494" s="107">
        <f t="shared" si="873"/>
        <v>0</v>
      </c>
      <c r="BU494" s="107">
        <f t="shared" si="873"/>
        <v>0</v>
      </c>
      <c r="BV494" s="107">
        <f t="shared" si="873"/>
        <v>0.20396934564747496</v>
      </c>
      <c r="BW494" s="107">
        <f t="shared" si="873"/>
        <v>0</v>
      </c>
      <c r="BX494" s="107">
        <f t="shared" si="873"/>
        <v>0</v>
      </c>
      <c r="BY494" s="107">
        <f t="shared" si="873"/>
        <v>0</v>
      </c>
      <c r="BZ494" s="107">
        <f t="shared" si="873"/>
        <v>0</v>
      </c>
      <c r="CA494" s="107">
        <f t="shared" si="873"/>
        <v>0</v>
      </c>
      <c r="CB494" s="107">
        <f t="shared" si="873"/>
        <v>0</v>
      </c>
      <c r="CC494" s="107">
        <f t="shared" si="873"/>
        <v>0</v>
      </c>
      <c r="CD494" s="107">
        <f t="shared" si="873"/>
        <v>0</v>
      </c>
      <c r="CE494" s="107">
        <f>+CE493/CE$412</f>
        <v>0</v>
      </c>
      <c r="CF494" s="107">
        <f>+CF493/CF$412</f>
        <v>0</v>
      </c>
      <c r="CG494" s="107">
        <f>+CG493/CG$412</f>
        <v>0</v>
      </c>
      <c r="CH494" s="107"/>
      <c r="CI494" s="107"/>
    </row>
    <row r="495" spans="2:87" x14ac:dyDescent="0.2">
      <c r="B495" s="66"/>
    </row>
    <row r="496" spans="2:87" x14ac:dyDescent="0.2">
      <c r="B496" s="70" t="s">
        <v>143</v>
      </c>
    </row>
    <row r="497" spans="2:87" x14ac:dyDescent="0.2">
      <c r="B497" s="70" t="s">
        <v>119</v>
      </c>
      <c r="D497" s="81">
        <v>0</v>
      </c>
      <c r="E497" s="81">
        <v>0</v>
      </c>
      <c r="F497" s="81">
        <v>0</v>
      </c>
      <c r="G497" s="81">
        <v>0</v>
      </c>
      <c r="H497" s="81">
        <v>0</v>
      </c>
      <c r="I497" s="81">
        <v>0</v>
      </c>
      <c r="J497" s="81">
        <v>0</v>
      </c>
      <c r="K497" s="81">
        <v>0</v>
      </c>
      <c r="L497" s="81">
        <v>0</v>
      </c>
      <c r="M497" s="81">
        <v>6</v>
      </c>
      <c r="N497" s="81">
        <v>-3</v>
      </c>
      <c r="O497" s="81">
        <v>2</v>
      </c>
      <c r="P497" s="81">
        <v>0</v>
      </c>
      <c r="Q497" s="81">
        <v>0</v>
      </c>
      <c r="R497" s="81">
        <v>0</v>
      </c>
      <c r="S497" s="81">
        <v>0</v>
      </c>
      <c r="T497" s="81">
        <v>0</v>
      </c>
      <c r="U497" s="81">
        <v>0</v>
      </c>
      <c r="V497" s="81">
        <v>0</v>
      </c>
      <c r="W497" s="81">
        <v>0</v>
      </c>
      <c r="X497" s="81">
        <v>0</v>
      </c>
      <c r="Y497" s="81">
        <v>0</v>
      </c>
      <c r="Z497" s="81">
        <v>0</v>
      </c>
      <c r="AA497" s="81">
        <v>0</v>
      </c>
      <c r="AB497" s="81">
        <v>0</v>
      </c>
      <c r="AC497" s="81">
        <v>0</v>
      </c>
      <c r="AD497" s="81">
        <v>0</v>
      </c>
      <c r="AE497" s="81">
        <v>0</v>
      </c>
      <c r="AF497" s="81">
        <v>0</v>
      </c>
      <c r="AG497" s="81">
        <v>0</v>
      </c>
      <c r="AH497" s="81">
        <v>0</v>
      </c>
      <c r="AI497" s="81">
        <v>0</v>
      </c>
      <c r="AJ497" s="81">
        <v>0</v>
      </c>
      <c r="AK497" s="81">
        <v>0</v>
      </c>
      <c r="AL497" s="81">
        <v>0</v>
      </c>
      <c r="AM497" s="81">
        <v>0</v>
      </c>
      <c r="AN497" s="81">
        <v>0</v>
      </c>
      <c r="AO497" s="81">
        <v>0</v>
      </c>
      <c r="AP497" s="81">
        <v>0</v>
      </c>
      <c r="AQ497" s="81">
        <v>0</v>
      </c>
      <c r="AR497" s="81">
        <v>0</v>
      </c>
      <c r="AS497" s="81">
        <v>0</v>
      </c>
      <c r="AT497" s="81">
        <v>0</v>
      </c>
      <c r="AU497" s="81">
        <v>0</v>
      </c>
      <c r="AV497" s="81">
        <v>0</v>
      </c>
      <c r="AW497" s="81">
        <v>0</v>
      </c>
      <c r="AX497" s="81">
        <v>0</v>
      </c>
      <c r="AY497" s="81">
        <v>0</v>
      </c>
      <c r="AZ497" s="81">
        <v>0</v>
      </c>
      <c r="BA497" s="81">
        <v>0</v>
      </c>
      <c r="BB497" s="81">
        <v>0</v>
      </c>
      <c r="BC497" s="81">
        <v>0</v>
      </c>
      <c r="BD497" s="81">
        <v>0</v>
      </c>
      <c r="BE497" s="81">
        <v>0</v>
      </c>
      <c r="BF497" s="81">
        <v>0</v>
      </c>
      <c r="BG497" s="81">
        <v>0</v>
      </c>
      <c r="BH497" s="81">
        <v>0</v>
      </c>
      <c r="BI497" s="81">
        <v>0</v>
      </c>
      <c r="BJ497" s="81">
        <v>0</v>
      </c>
      <c r="BK497" s="81"/>
      <c r="BL497" s="81"/>
      <c r="BM497" s="81"/>
      <c r="BN497" s="81"/>
      <c r="BO497" s="81"/>
      <c r="BQ497" s="81">
        <v>0</v>
      </c>
      <c r="BR497" s="81">
        <v>0</v>
      </c>
      <c r="BS497" s="81">
        <v>0</v>
      </c>
      <c r="BT497" s="81">
        <v>0</v>
      </c>
      <c r="BU497" s="64">
        <f>+SUM(H497:K497)</f>
        <v>0</v>
      </c>
      <c r="BV497" s="64">
        <f>+SUM(L497:O497)</f>
        <v>5</v>
      </c>
      <c r="BW497" s="64">
        <f>+SUM(P497:S497)</f>
        <v>0</v>
      </c>
      <c r="BX497" s="64">
        <f>+SUM(T497:W497)</f>
        <v>0</v>
      </c>
      <c r="BY497" s="64">
        <f>+SUM(X497:AA497)</f>
        <v>0</v>
      </c>
      <c r="BZ497" s="64">
        <f>+SUM(AB497:AE497)</f>
        <v>0</v>
      </c>
      <c r="CA497" s="64">
        <f>+SUM(AF497:AI497)</f>
        <v>0</v>
      </c>
      <c r="CB497" s="64">
        <f>+SUM(AJ497:AM497)</f>
        <v>0</v>
      </c>
      <c r="CC497" s="64">
        <f>+SUM(AN497:AQ497)</f>
        <v>0</v>
      </c>
      <c r="CD497" s="64">
        <f>+SUM(AR497:AU497)</f>
        <v>0</v>
      </c>
      <c r="CE497" s="64">
        <f>+SUM(AV497:AY497)</f>
        <v>0</v>
      </c>
      <c r="CF497" s="64">
        <f>+SUM(AZ497:BC497)</f>
        <v>0</v>
      </c>
      <c r="CG497" s="64">
        <f>+SUM(BD497:BG497)</f>
        <v>0</v>
      </c>
      <c r="CH497" s="64"/>
      <c r="CI497" s="64"/>
    </row>
    <row r="498" spans="2:87" x14ac:dyDescent="0.2">
      <c r="B498" s="70" t="s">
        <v>121</v>
      </c>
      <c r="D498" s="81">
        <v>0</v>
      </c>
      <c r="E498" s="81">
        <v>0</v>
      </c>
      <c r="F498" s="81">
        <v>0</v>
      </c>
      <c r="G498" s="81">
        <v>0</v>
      </c>
      <c r="H498" s="81">
        <v>0</v>
      </c>
      <c r="I498" s="81">
        <v>0</v>
      </c>
      <c r="J498" s="81">
        <v>0</v>
      </c>
      <c r="K498" s="81">
        <v>0</v>
      </c>
      <c r="L498" s="81">
        <v>0</v>
      </c>
      <c r="M498" s="81">
        <v>46</v>
      </c>
      <c r="N498" s="81">
        <v>-12</v>
      </c>
      <c r="O498" s="81">
        <v>5</v>
      </c>
      <c r="P498" s="81">
        <v>0</v>
      </c>
      <c r="Q498" s="81">
        <v>0</v>
      </c>
      <c r="R498" s="81">
        <v>0</v>
      </c>
      <c r="S498" s="81">
        <v>0</v>
      </c>
      <c r="T498" s="81">
        <v>0</v>
      </c>
      <c r="U498" s="81">
        <v>0</v>
      </c>
      <c r="V498" s="81">
        <v>0</v>
      </c>
      <c r="W498" s="81">
        <v>0</v>
      </c>
      <c r="X498" s="81">
        <v>0</v>
      </c>
      <c r="Y498" s="81">
        <v>0</v>
      </c>
      <c r="Z498" s="81">
        <v>0</v>
      </c>
      <c r="AA498" s="81">
        <v>0</v>
      </c>
      <c r="AB498" s="81">
        <v>0</v>
      </c>
      <c r="AC498" s="81">
        <v>0</v>
      </c>
      <c r="AD498" s="81">
        <v>0</v>
      </c>
      <c r="AE498" s="81">
        <v>0</v>
      </c>
      <c r="AF498" s="81">
        <v>0</v>
      </c>
      <c r="AG498" s="81">
        <v>0</v>
      </c>
      <c r="AH498" s="81">
        <v>0</v>
      </c>
      <c r="AI498" s="81">
        <v>0</v>
      </c>
      <c r="AJ498" s="81">
        <v>0</v>
      </c>
      <c r="AK498" s="81">
        <v>0</v>
      </c>
      <c r="AL498" s="81">
        <v>0</v>
      </c>
      <c r="AM498" s="81">
        <v>0</v>
      </c>
      <c r="AN498" s="81">
        <v>0</v>
      </c>
      <c r="AO498" s="81">
        <v>0</v>
      </c>
      <c r="AP498" s="81">
        <v>0</v>
      </c>
      <c r="AQ498" s="81">
        <v>0</v>
      </c>
      <c r="AR498" s="81">
        <v>0</v>
      </c>
      <c r="AS498" s="81">
        <v>0</v>
      </c>
      <c r="AT498" s="81">
        <v>0</v>
      </c>
      <c r="AU498" s="81">
        <v>0</v>
      </c>
      <c r="AV498" s="81">
        <v>0</v>
      </c>
      <c r="AW498" s="81">
        <v>0</v>
      </c>
      <c r="AX498" s="81">
        <v>0</v>
      </c>
      <c r="AY498" s="81">
        <v>0</v>
      </c>
      <c r="AZ498" s="81">
        <v>0</v>
      </c>
      <c r="BA498" s="81">
        <v>0</v>
      </c>
      <c r="BB498" s="81">
        <v>0</v>
      </c>
      <c r="BC498" s="81">
        <v>0</v>
      </c>
      <c r="BD498" s="81">
        <v>0</v>
      </c>
      <c r="BE498" s="81">
        <v>0</v>
      </c>
      <c r="BF498" s="81">
        <v>0</v>
      </c>
      <c r="BG498" s="81">
        <v>0</v>
      </c>
      <c r="BH498" s="81">
        <v>0</v>
      </c>
      <c r="BI498" s="81">
        <v>0</v>
      </c>
      <c r="BJ498" s="81">
        <v>0</v>
      </c>
      <c r="BK498" s="81"/>
      <c r="BL498" s="81"/>
      <c r="BM498" s="81"/>
      <c r="BN498" s="81"/>
      <c r="BO498" s="81"/>
      <c r="BQ498" s="81">
        <v>0</v>
      </c>
      <c r="BR498" s="81">
        <v>0</v>
      </c>
      <c r="BS498" s="81">
        <v>0</v>
      </c>
      <c r="BT498" s="81">
        <v>0</v>
      </c>
      <c r="BU498" s="64">
        <f>+SUM(H498:K498)</f>
        <v>0</v>
      </c>
      <c r="BV498" s="64">
        <f>+SUM(L498:O498)</f>
        <v>39</v>
      </c>
      <c r="BW498" s="64">
        <f>+SUM(P498:S498)</f>
        <v>0</v>
      </c>
      <c r="BX498" s="64">
        <f>+SUM(T498:W498)</f>
        <v>0</v>
      </c>
      <c r="BY498" s="64">
        <f>+SUM(X498:AA498)</f>
        <v>0</v>
      </c>
      <c r="BZ498" s="64">
        <f>+SUM(AB498:AE498)</f>
        <v>0</v>
      </c>
      <c r="CA498" s="64">
        <f>+SUM(AF498:AI498)</f>
        <v>0</v>
      </c>
      <c r="CB498" s="64">
        <f>+SUM(AJ498:AM498)</f>
        <v>0</v>
      </c>
      <c r="CC498" s="64">
        <f>+SUM(AN498:AQ498)</f>
        <v>0</v>
      </c>
      <c r="CD498" s="64">
        <f>+SUM(AR498:AU498)</f>
        <v>0</v>
      </c>
      <c r="CE498" s="64">
        <f>+SUM(AV498:AY498)</f>
        <v>0</v>
      </c>
      <c r="CF498" s="64">
        <f>+SUM(AZ498:BC498)</f>
        <v>0</v>
      </c>
      <c r="CG498" s="64">
        <f>+SUM(BD498:BG498)</f>
        <v>0</v>
      </c>
      <c r="CH498" s="64"/>
      <c r="CI498" s="64"/>
    </row>
    <row r="499" spans="2:87" x14ac:dyDescent="0.2">
      <c r="B499" s="70" t="s">
        <v>122</v>
      </c>
      <c r="D499" s="81">
        <v>0</v>
      </c>
      <c r="E499" s="81">
        <v>0</v>
      </c>
      <c r="F499" s="81">
        <v>0</v>
      </c>
      <c r="G499" s="81">
        <v>0</v>
      </c>
      <c r="H499" s="81">
        <v>0</v>
      </c>
      <c r="I499" s="81">
        <v>0</v>
      </c>
      <c r="J499" s="81">
        <v>0</v>
      </c>
      <c r="K499" s="81">
        <v>0</v>
      </c>
      <c r="L499" s="81">
        <v>0</v>
      </c>
      <c r="M499" s="81">
        <v>24</v>
      </c>
      <c r="N499" s="81">
        <v>-9</v>
      </c>
      <c r="O499" s="81">
        <v>3</v>
      </c>
      <c r="P499" s="81">
        <v>0</v>
      </c>
      <c r="Q499" s="81">
        <v>0</v>
      </c>
      <c r="R499" s="81">
        <v>0</v>
      </c>
      <c r="S499" s="81">
        <v>0</v>
      </c>
      <c r="T499" s="81">
        <v>0</v>
      </c>
      <c r="U499" s="81">
        <v>0</v>
      </c>
      <c r="V499" s="81">
        <v>0</v>
      </c>
      <c r="W499" s="81">
        <v>0</v>
      </c>
      <c r="X499" s="81">
        <v>0</v>
      </c>
      <c r="Y499" s="81">
        <v>0</v>
      </c>
      <c r="Z499" s="81">
        <v>0</v>
      </c>
      <c r="AA499" s="81">
        <v>0</v>
      </c>
      <c r="AB499" s="81">
        <v>0</v>
      </c>
      <c r="AC499" s="81">
        <v>0</v>
      </c>
      <c r="AD499" s="81">
        <v>0</v>
      </c>
      <c r="AE499" s="81">
        <v>0</v>
      </c>
      <c r="AF499" s="81">
        <v>0</v>
      </c>
      <c r="AG499" s="81">
        <v>0</v>
      </c>
      <c r="AH499" s="81">
        <v>0</v>
      </c>
      <c r="AI499" s="81">
        <v>0</v>
      </c>
      <c r="AJ499" s="81">
        <v>0</v>
      </c>
      <c r="AK499" s="81">
        <v>0</v>
      </c>
      <c r="AL499" s="81">
        <v>0</v>
      </c>
      <c r="AM499" s="81">
        <v>0</v>
      </c>
      <c r="AN499" s="81">
        <v>0</v>
      </c>
      <c r="AO499" s="81">
        <v>0</v>
      </c>
      <c r="AP499" s="81">
        <v>0</v>
      </c>
      <c r="AQ499" s="81">
        <v>0</v>
      </c>
      <c r="AR499" s="81">
        <v>0</v>
      </c>
      <c r="AS499" s="81">
        <v>0</v>
      </c>
      <c r="AT499" s="81">
        <v>0</v>
      </c>
      <c r="AU499" s="81">
        <v>0</v>
      </c>
      <c r="AV499" s="81">
        <v>0</v>
      </c>
      <c r="AW499" s="81">
        <v>0</v>
      </c>
      <c r="AX499" s="81">
        <v>0</v>
      </c>
      <c r="AY499" s="81">
        <v>0</v>
      </c>
      <c r="AZ499" s="81">
        <v>0</v>
      </c>
      <c r="BA499" s="81">
        <v>0</v>
      </c>
      <c r="BB499" s="81">
        <v>0</v>
      </c>
      <c r="BC499" s="81">
        <v>0</v>
      </c>
      <c r="BD499" s="81">
        <v>0</v>
      </c>
      <c r="BE499" s="81">
        <v>0</v>
      </c>
      <c r="BF499" s="81">
        <v>0</v>
      </c>
      <c r="BG499" s="81">
        <v>0</v>
      </c>
      <c r="BH499" s="81">
        <v>0</v>
      </c>
      <c r="BI499" s="81">
        <v>0</v>
      </c>
      <c r="BJ499" s="81">
        <v>0</v>
      </c>
      <c r="BK499" s="81"/>
      <c r="BL499" s="81"/>
      <c r="BM499" s="81"/>
      <c r="BN499" s="81"/>
      <c r="BO499" s="81"/>
      <c r="BQ499" s="81">
        <v>0</v>
      </c>
      <c r="BR499" s="81">
        <v>0</v>
      </c>
      <c r="BS499" s="81">
        <v>0</v>
      </c>
      <c r="BT499" s="81">
        <v>0</v>
      </c>
      <c r="BU499" s="64">
        <f>+SUM(H499:K499)</f>
        <v>0</v>
      </c>
      <c r="BV499" s="64">
        <f>+SUM(L499:O499)</f>
        <v>18</v>
      </c>
      <c r="BW499" s="64">
        <f>+SUM(P499:S499)</f>
        <v>0</v>
      </c>
      <c r="BX499" s="64">
        <f>+SUM(T499:W499)</f>
        <v>0</v>
      </c>
      <c r="BY499" s="64">
        <f>+SUM(X499:AA499)</f>
        <v>0</v>
      </c>
      <c r="BZ499" s="64">
        <f>+SUM(AB499:AE499)</f>
        <v>0</v>
      </c>
      <c r="CA499" s="64">
        <f>+SUM(AF499:AI499)</f>
        <v>0</v>
      </c>
      <c r="CB499" s="64">
        <f>+SUM(AJ499:AM499)</f>
        <v>0</v>
      </c>
      <c r="CC499" s="64">
        <f>+SUM(AN499:AQ499)</f>
        <v>0</v>
      </c>
      <c r="CD499" s="64">
        <f>+SUM(AR499:AU499)</f>
        <v>0</v>
      </c>
      <c r="CE499" s="64">
        <f>+SUM(AV499:AY499)</f>
        <v>0</v>
      </c>
      <c r="CF499" s="64">
        <f>+SUM(AZ499:BC499)</f>
        <v>0</v>
      </c>
      <c r="CG499" s="64">
        <f>+SUM(BD499:BG499)</f>
        <v>0</v>
      </c>
      <c r="CH499" s="64"/>
      <c r="CI499" s="64"/>
    </row>
    <row r="500" spans="2:87" ht="13.5" x14ac:dyDescent="0.35">
      <c r="B500" s="70" t="s">
        <v>123</v>
      </c>
      <c r="D500" s="82">
        <v>0</v>
      </c>
      <c r="E500" s="82">
        <v>0</v>
      </c>
      <c r="F500" s="82">
        <v>0</v>
      </c>
      <c r="G500" s="82">
        <v>0</v>
      </c>
      <c r="H500" s="82">
        <v>0</v>
      </c>
      <c r="I500" s="82">
        <v>0</v>
      </c>
      <c r="J500" s="82">
        <v>0</v>
      </c>
      <c r="K500" s="82">
        <v>0</v>
      </c>
      <c r="L500" s="82">
        <v>0</v>
      </c>
      <c r="M500" s="82">
        <v>39</v>
      </c>
      <c r="N500" s="82">
        <v>-7</v>
      </c>
      <c r="O500" s="82">
        <v>0</v>
      </c>
      <c r="P500" s="82">
        <v>0</v>
      </c>
      <c r="Q500" s="82">
        <v>0</v>
      </c>
      <c r="R500" s="82">
        <v>0</v>
      </c>
      <c r="S500" s="82">
        <v>0</v>
      </c>
      <c r="T500" s="82">
        <v>0</v>
      </c>
      <c r="U500" s="82">
        <v>0</v>
      </c>
      <c r="V500" s="82">
        <v>0</v>
      </c>
      <c r="W500" s="82">
        <v>0</v>
      </c>
      <c r="X500" s="82">
        <v>0</v>
      </c>
      <c r="Y500" s="82">
        <v>0</v>
      </c>
      <c r="Z500" s="82">
        <v>0</v>
      </c>
      <c r="AA500" s="82">
        <v>0</v>
      </c>
      <c r="AB500" s="82">
        <v>0</v>
      </c>
      <c r="AC500" s="82">
        <v>0</v>
      </c>
      <c r="AD500" s="82">
        <v>0</v>
      </c>
      <c r="AE500" s="82">
        <v>0</v>
      </c>
      <c r="AF500" s="82">
        <v>0</v>
      </c>
      <c r="AG500" s="82">
        <v>0</v>
      </c>
      <c r="AH500" s="82">
        <v>0</v>
      </c>
      <c r="AI500" s="82">
        <v>0</v>
      </c>
      <c r="AJ500" s="82">
        <v>0</v>
      </c>
      <c r="AK500" s="82">
        <v>0</v>
      </c>
      <c r="AL500" s="82">
        <v>0</v>
      </c>
      <c r="AM500" s="82">
        <v>0</v>
      </c>
      <c r="AN500" s="82">
        <v>0</v>
      </c>
      <c r="AO500" s="82">
        <v>0</v>
      </c>
      <c r="AP500" s="82">
        <v>0</v>
      </c>
      <c r="AQ500" s="82">
        <v>0</v>
      </c>
      <c r="AR500" s="82">
        <v>0</v>
      </c>
      <c r="AS500" s="82">
        <v>0</v>
      </c>
      <c r="AT500" s="82">
        <v>0</v>
      </c>
      <c r="AU500" s="82">
        <v>0</v>
      </c>
      <c r="AV500" s="82">
        <v>0</v>
      </c>
      <c r="AW500" s="82">
        <v>0</v>
      </c>
      <c r="AX500" s="82">
        <v>0</v>
      </c>
      <c r="AY500" s="82">
        <v>0</v>
      </c>
      <c r="AZ500" s="82">
        <v>0</v>
      </c>
      <c r="BA500" s="82">
        <v>0</v>
      </c>
      <c r="BB500" s="82">
        <v>0</v>
      </c>
      <c r="BC500" s="82">
        <v>0</v>
      </c>
      <c r="BD500" s="82">
        <v>0</v>
      </c>
      <c r="BE500" s="82">
        <v>0</v>
      </c>
      <c r="BF500" s="82">
        <v>0</v>
      </c>
      <c r="BG500" s="82">
        <v>0</v>
      </c>
      <c r="BH500" s="82">
        <v>0</v>
      </c>
      <c r="BI500" s="82">
        <v>0</v>
      </c>
      <c r="BJ500" s="82">
        <v>0</v>
      </c>
      <c r="BK500" s="82"/>
      <c r="BL500" s="82"/>
      <c r="BM500" s="82"/>
      <c r="BN500" s="82"/>
      <c r="BO500" s="82"/>
      <c r="BQ500" s="82">
        <v>0</v>
      </c>
      <c r="BR500" s="82">
        <v>0</v>
      </c>
      <c r="BS500" s="82">
        <v>0</v>
      </c>
      <c r="BT500" s="82">
        <v>0</v>
      </c>
      <c r="BU500" s="65">
        <f>+SUM(H500:K500)</f>
        <v>0</v>
      </c>
      <c r="BV500" s="65">
        <f>+SUM(L500:O500)</f>
        <v>32</v>
      </c>
      <c r="BW500" s="65">
        <f>+SUM(P500:S500)</f>
        <v>0</v>
      </c>
      <c r="BX500" s="65">
        <f>+SUM(T500:W500)</f>
        <v>0</v>
      </c>
      <c r="BY500" s="65">
        <f>+SUM(X500:AA500)</f>
        <v>0</v>
      </c>
      <c r="BZ500" s="65">
        <f>+SUM(AB500:AE500)</f>
        <v>0</v>
      </c>
      <c r="CA500" s="65">
        <f>+SUM(AF500:AI500)</f>
        <v>0</v>
      </c>
      <c r="CB500" s="65">
        <f>+SUM(AJ500:AM500)</f>
        <v>0</v>
      </c>
      <c r="CC500" s="65">
        <f>+SUM(AN500:AQ500)</f>
        <v>0</v>
      </c>
      <c r="CD500" s="65">
        <f>+SUM(AR500:AU500)</f>
        <v>0</v>
      </c>
      <c r="CE500" s="65">
        <f>+SUM(AV500:AY500)</f>
        <v>0</v>
      </c>
      <c r="CF500" s="65">
        <f>+SUM(AZ500:BC500)</f>
        <v>0</v>
      </c>
      <c r="CG500" s="65">
        <f>+SUM(BD500:BG500)</f>
        <v>0</v>
      </c>
      <c r="CH500" s="65"/>
      <c r="CI500" s="65"/>
    </row>
    <row r="501" spans="2:87" x14ac:dyDescent="0.2">
      <c r="B501" s="66" t="s">
        <v>243</v>
      </c>
      <c r="D501" s="64">
        <f t="shared" ref="D501:CB501" si="877">SUM(D497:D500)</f>
        <v>0</v>
      </c>
      <c r="E501" s="64">
        <f t="shared" si="877"/>
        <v>0</v>
      </c>
      <c r="F501" s="64">
        <f t="shared" si="877"/>
        <v>0</v>
      </c>
      <c r="G501" s="64">
        <f t="shared" si="877"/>
        <v>0</v>
      </c>
      <c r="H501" s="64">
        <f t="shared" si="877"/>
        <v>0</v>
      </c>
      <c r="I501" s="64">
        <f t="shared" si="877"/>
        <v>0</v>
      </c>
      <c r="J501" s="64">
        <f t="shared" si="877"/>
        <v>0</v>
      </c>
      <c r="K501" s="64">
        <f t="shared" si="877"/>
        <v>0</v>
      </c>
      <c r="L501" s="64">
        <f t="shared" si="877"/>
        <v>0</v>
      </c>
      <c r="M501" s="64">
        <f t="shared" si="877"/>
        <v>115</v>
      </c>
      <c r="N501" s="64">
        <f t="shared" si="877"/>
        <v>-31</v>
      </c>
      <c r="O501" s="64">
        <f t="shared" si="877"/>
        <v>10</v>
      </c>
      <c r="P501" s="64">
        <f t="shared" si="877"/>
        <v>0</v>
      </c>
      <c r="Q501" s="64">
        <f t="shared" si="877"/>
        <v>0</v>
      </c>
      <c r="R501" s="64">
        <f t="shared" si="877"/>
        <v>0</v>
      </c>
      <c r="S501" s="64">
        <f t="shared" si="877"/>
        <v>0</v>
      </c>
      <c r="T501" s="64">
        <f t="shared" si="877"/>
        <v>0</v>
      </c>
      <c r="U501" s="64">
        <f t="shared" si="877"/>
        <v>0</v>
      </c>
      <c r="V501" s="64">
        <f t="shared" si="877"/>
        <v>0</v>
      </c>
      <c r="W501" s="64">
        <f t="shared" si="877"/>
        <v>0</v>
      </c>
      <c r="X501" s="64">
        <f t="shared" si="877"/>
        <v>0</v>
      </c>
      <c r="Y501" s="64">
        <f t="shared" si="877"/>
        <v>0</v>
      </c>
      <c r="Z501" s="64">
        <f t="shared" si="877"/>
        <v>0</v>
      </c>
      <c r="AA501" s="64">
        <f t="shared" si="877"/>
        <v>0</v>
      </c>
      <c r="AB501" s="64">
        <f t="shared" si="877"/>
        <v>0</v>
      </c>
      <c r="AC501" s="64">
        <f t="shared" si="877"/>
        <v>0</v>
      </c>
      <c r="AD501" s="64">
        <f t="shared" si="877"/>
        <v>0</v>
      </c>
      <c r="AE501" s="64">
        <f t="shared" si="877"/>
        <v>0</v>
      </c>
      <c r="AF501" s="64">
        <f t="shared" si="877"/>
        <v>0</v>
      </c>
      <c r="AG501" s="64">
        <f t="shared" si="877"/>
        <v>0</v>
      </c>
      <c r="AH501" s="64">
        <f t="shared" si="877"/>
        <v>0</v>
      </c>
      <c r="AI501" s="64">
        <f t="shared" si="877"/>
        <v>0</v>
      </c>
      <c r="AJ501" s="64">
        <f t="shared" si="877"/>
        <v>0</v>
      </c>
      <c r="AK501" s="64">
        <f t="shared" si="877"/>
        <v>0</v>
      </c>
      <c r="AL501" s="64">
        <f t="shared" si="877"/>
        <v>0</v>
      </c>
      <c r="AM501" s="64">
        <f t="shared" si="877"/>
        <v>0</v>
      </c>
      <c r="AN501" s="64">
        <f t="shared" si="877"/>
        <v>0</v>
      </c>
      <c r="AO501" s="64">
        <f t="shared" si="877"/>
        <v>0</v>
      </c>
      <c r="AP501" s="64">
        <f t="shared" si="877"/>
        <v>0</v>
      </c>
      <c r="AQ501" s="64">
        <f t="shared" si="877"/>
        <v>0</v>
      </c>
      <c r="AR501" s="64">
        <f t="shared" si="877"/>
        <v>0</v>
      </c>
      <c r="AS501" s="64">
        <f t="shared" si="877"/>
        <v>0</v>
      </c>
      <c r="AT501" s="64">
        <f t="shared" si="877"/>
        <v>0</v>
      </c>
      <c r="AU501" s="64">
        <f t="shared" ref="AU501:AZ501" si="878">SUM(AU497:AU500)</f>
        <v>0</v>
      </c>
      <c r="AV501" s="64">
        <f t="shared" si="878"/>
        <v>0</v>
      </c>
      <c r="AW501" s="64">
        <f t="shared" si="878"/>
        <v>0</v>
      </c>
      <c r="AX501" s="64">
        <f t="shared" si="878"/>
        <v>0</v>
      </c>
      <c r="AY501" s="64">
        <f t="shared" si="878"/>
        <v>0</v>
      </c>
      <c r="AZ501" s="64">
        <f t="shared" si="878"/>
        <v>0</v>
      </c>
      <c r="BA501" s="64">
        <f t="shared" ref="BA501:BI501" si="879">SUM(BA497:BA500)</f>
        <v>0</v>
      </c>
      <c r="BB501" s="64">
        <f t="shared" si="879"/>
        <v>0</v>
      </c>
      <c r="BC501" s="64">
        <f t="shared" si="879"/>
        <v>0</v>
      </c>
      <c r="BD501" s="64">
        <f t="shared" si="879"/>
        <v>0</v>
      </c>
      <c r="BE501" s="64">
        <f t="shared" si="879"/>
        <v>0</v>
      </c>
      <c r="BF501" s="64">
        <f t="shared" si="879"/>
        <v>0</v>
      </c>
      <c r="BG501" s="64">
        <f t="shared" si="879"/>
        <v>0</v>
      </c>
      <c r="BH501" s="64">
        <f t="shared" si="879"/>
        <v>0</v>
      </c>
      <c r="BI501" s="64">
        <f t="shared" si="879"/>
        <v>0</v>
      </c>
      <c r="BJ501" s="64">
        <f t="shared" ref="BJ501" si="880">SUM(BJ497:BJ500)</f>
        <v>0</v>
      </c>
      <c r="BK501" s="64"/>
      <c r="BL501" s="64"/>
      <c r="BM501" s="64"/>
      <c r="BN501" s="64"/>
      <c r="BO501" s="64"/>
      <c r="BQ501" s="64">
        <f t="shared" si="877"/>
        <v>0</v>
      </c>
      <c r="BR501" s="64">
        <f t="shared" si="877"/>
        <v>0</v>
      </c>
      <c r="BS501" s="64">
        <f t="shared" si="877"/>
        <v>0</v>
      </c>
      <c r="BT501" s="64">
        <f t="shared" si="877"/>
        <v>0</v>
      </c>
      <c r="BU501" s="64">
        <f t="shared" si="877"/>
        <v>0</v>
      </c>
      <c r="BV501" s="64">
        <f t="shared" si="877"/>
        <v>94</v>
      </c>
      <c r="BW501" s="64">
        <f t="shared" si="877"/>
        <v>0</v>
      </c>
      <c r="BX501" s="64">
        <f t="shared" si="877"/>
        <v>0</v>
      </c>
      <c r="BY501" s="64">
        <f t="shared" si="877"/>
        <v>0</v>
      </c>
      <c r="BZ501" s="64">
        <f t="shared" si="877"/>
        <v>0</v>
      </c>
      <c r="CA501" s="64">
        <f t="shared" si="877"/>
        <v>0</v>
      </c>
      <c r="CB501" s="64">
        <f t="shared" si="877"/>
        <v>0</v>
      </c>
      <c r="CC501" s="64">
        <f>+SUM(AN501:AQ501)</f>
        <v>0</v>
      </c>
      <c r="CD501" s="64">
        <f>+SUM(AR501:AU501)</f>
        <v>0</v>
      </c>
      <c r="CE501" s="64">
        <f>+SUM(AV501:AY501)</f>
        <v>0</v>
      </c>
      <c r="CF501" s="64">
        <f>+SUM(AZ501:BC501)</f>
        <v>0</v>
      </c>
      <c r="CG501" s="64">
        <f>+SUM(BD501:BG501)</f>
        <v>0</v>
      </c>
      <c r="CH501" s="64"/>
      <c r="CI501" s="64"/>
    </row>
    <row r="502" spans="2:87" x14ac:dyDescent="0.2">
      <c r="B502" s="67" t="s">
        <v>20</v>
      </c>
      <c r="C502" s="107"/>
      <c r="D502" s="107">
        <f>+D501/D$412</f>
        <v>0</v>
      </c>
      <c r="E502" s="107">
        <f t="shared" ref="E502:CD502" si="881">+E501/E$412</f>
        <v>0</v>
      </c>
      <c r="F502" s="107">
        <f t="shared" si="881"/>
        <v>0</v>
      </c>
      <c r="G502" s="107">
        <f t="shared" si="881"/>
        <v>0</v>
      </c>
      <c r="H502" s="107">
        <f t="shared" si="881"/>
        <v>0</v>
      </c>
      <c r="I502" s="107">
        <f t="shared" si="881"/>
        <v>0</v>
      </c>
      <c r="J502" s="107">
        <f t="shared" si="881"/>
        <v>0</v>
      </c>
      <c r="K502" s="107">
        <f t="shared" si="881"/>
        <v>0</v>
      </c>
      <c r="L502" s="107">
        <f t="shared" si="881"/>
        <v>0</v>
      </c>
      <c r="M502" s="107">
        <f t="shared" si="881"/>
        <v>9.7128378378378372E-2</v>
      </c>
      <c r="N502" s="107">
        <f t="shared" si="881"/>
        <v>-2.456418383518225E-2</v>
      </c>
      <c r="O502" s="107">
        <f t="shared" si="881"/>
        <v>6.3091482649842269E-3</v>
      </c>
      <c r="P502" s="107">
        <f t="shared" si="881"/>
        <v>0</v>
      </c>
      <c r="Q502" s="107">
        <f t="shared" si="881"/>
        <v>0</v>
      </c>
      <c r="R502" s="107">
        <f t="shared" si="881"/>
        <v>0</v>
      </c>
      <c r="S502" s="107">
        <f t="shared" si="881"/>
        <v>0</v>
      </c>
      <c r="T502" s="107">
        <f t="shared" si="881"/>
        <v>0</v>
      </c>
      <c r="U502" s="107">
        <f t="shared" si="881"/>
        <v>0</v>
      </c>
      <c r="V502" s="107">
        <f t="shared" si="881"/>
        <v>0</v>
      </c>
      <c r="W502" s="107">
        <f t="shared" si="881"/>
        <v>0</v>
      </c>
      <c r="X502" s="107">
        <f t="shared" si="881"/>
        <v>0</v>
      </c>
      <c r="Y502" s="107">
        <f t="shared" si="881"/>
        <v>0</v>
      </c>
      <c r="Z502" s="107">
        <f t="shared" si="881"/>
        <v>0</v>
      </c>
      <c r="AA502" s="107">
        <f t="shared" si="881"/>
        <v>0</v>
      </c>
      <c r="AB502" s="107">
        <f t="shared" si="881"/>
        <v>0</v>
      </c>
      <c r="AC502" s="107">
        <f t="shared" si="881"/>
        <v>0</v>
      </c>
      <c r="AD502" s="107">
        <f t="shared" si="881"/>
        <v>0</v>
      </c>
      <c r="AE502" s="107">
        <f t="shared" si="881"/>
        <v>0</v>
      </c>
      <c r="AF502" s="107">
        <f t="shared" si="881"/>
        <v>0</v>
      </c>
      <c r="AG502" s="107">
        <f t="shared" si="881"/>
        <v>0</v>
      </c>
      <c r="AH502" s="107">
        <f t="shared" si="881"/>
        <v>0</v>
      </c>
      <c r="AI502" s="107">
        <f t="shared" si="881"/>
        <v>0</v>
      </c>
      <c r="AJ502" s="107">
        <f t="shared" si="881"/>
        <v>0</v>
      </c>
      <c r="AK502" s="107">
        <f t="shared" si="881"/>
        <v>0</v>
      </c>
      <c r="AL502" s="107">
        <f t="shared" si="881"/>
        <v>0</v>
      </c>
      <c r="AM502" s="107">
        <f t="shared" si="881"/>
        <v>0</v>
      </c>
      <c r="AN502" s="107">
        <f t="shared" si="881"/>
        <v>0</v>
      </c>
      <c r="AO502" s="107">
        <f t="shared" si="881"/>
        <v>0</v>
      </c>
      <c r="AP502" s="107">
        <f t="shared" si="881"/>
        <v>0</v>
      </c>
      <c r="AQ502" s="107">
        <f t="shared" si="881"/>
        <v>0</v>
      </c>
      <c r="AR502" s="107">
        <f t="shared" si="881"/>
        <v>0</v>
      </c>
      <c r="AS502" s="107">
        <f t="shared" si="881"/>
        <v>0</v>
      </c>
      <c r="AT502" s="107">
        <f t="shared" si="881"/>
        <v>0</v>
      </c>
      <c r="AU502" s="107">
        <f t="shared" ref="AU502:AZ502" si="882">+AU501/AU$412</f>
        <v>0</v>
      </c>
      <c r="AV502" s="107">
        <f t="shared" si="882"/>
        <v>0</v>
      </c>
      <c r="AW502" s="107">
        <f t="shared" si="882"/>
        <v>0</v>
      </c>
      <c r="AX502" s="107">
        <f t="shared" si="882"/>
        <v>0</v>
      </c>
      <c r="AY502" s="107">
        <f t="shared" si="882"/>
        <v>0</v>
      </c>
      <c r="AZ502" s="107">
        <f t="shared" si="882"/>
        <v>0</v>
      </c>
      <c r="BA502" s="107">
        <f t="shared" ref="BA502:BI502" si="883">+BA501/BA$412</f>
        <v>0</v>
      </c>
      <c r="BB502" s="107">
        <f t="shared" si="883"/>
        <v>0</v>
      </c>
      <c r="BC502" s="107">
        <f t="shared" si="883"/>
        <v>0</v>
      </c>
      <c r="BD502" s="107">
        <f t="shared" si="883"/>
        <v>0</v>
      </c>
      <c r="BE502" s="107">
        <f t="shared" si="883"/>
        <v>0</v>
      </c>
      <c r="BF502" s="107">
        <f t="shared" si="883"/>
        <v>0</v>
      </c>
      <c r="BG502" s="107">
        <f t="shared" si="883"/>
        <v>0</v>
      </c>
      <c r="BH502" s="107">
        <f t="shared" si="883"/>
        <v>0</v>
      </c>
      <c r="BI502" s="107">
        <f t="shared" si="883"/>
        <v>0</v>
      </c>
      <c r="BJ502" s="107">
        <f t="shared" ref="BJ502" si="884">+BJ501/BJ$412</f>
        <v>0</v>
      </c>
      <c r="BK502" s="107"/>
      <c r="BL502" s="107"/>
      <c r="BM502" s="107"/>
      <c r="BN502" s="107"/>
      <c r="BO502" s="107"/>
      <c r="BP502" s="107"/>
      <c r="BQ502" s="107">
        <f t="shared" si="881"/>
        <v>0</v>
      </c>
      <c r="BR502" s="107">
        <f t="shared" si="881"/>
        <v>0</v>
      </c>
      <c r="BS502" s="107">
        <f t="shared" si="881"/>
        <v>0</v>
      </c>
      <c r="BT502" s="107">
        <f t="shared" si="881"/>
        <v>0</v>
      </c>
      <c r="BU502" s="107">
        <f t="shared" si="881"/>
        <v>0</v>
      </c>
      <c r="BV502" s="107">
        <f t="shared" si="881"/>
        <v>1.8471212418942819E-2</v>
      </c>
      <c r="BW502" s="107">
        <f t="shared" si="881"/>
        <v>0</v>
      </c>
      <c r="BX502" s="107">
        <f t="shared" si="881"/>
        <v>0</v>
      </c>
      <c r="BY502" s="107">
        <f t="shared" si="881"/>
        <v>0</v>
      </c>
      <c r="BZ502" s="107">
        <f t="shared" si="881"/>
        <v>0</v>
      </c>
      <c r="CA502" s="107">
        <f t="shared" si="881"/>
        <v>0</v>
      </c>
      <c r="CB502" s="107">
        <f t="shared" si="881"/>
        <v>0</v>
      </c>
      <c r="CC502" s="107">
        <f t="shared" si="881"/>
        <v>0</v>
      </c>
      <c r="CD502" s="107">
        <f t="shared" si="881"/>
        <v>0</v>
      </c>
      <c r="CE502" s="107">
        <f>+CE501/CE$412</f>
        <v>0</v>
      </c>
      <c r="CF502" s="107">
        <f>+CF501/CF$412</f>
        <v>0</v>
      </c>
      <c r="CG502" s="107">
        <f>+CG501/CG$412</f>
        <v>0</v>
      </c>
      <c r="CH502" s="107"/>
      <c r="CI502" s="107"/>
    </row>
    <row r="504" spans="2:87" x14ac:dyDescent="0.2">
      <c r="B504" s="54" t="s">
        <v>244</v>
      </c>
    </row>
    <row r="505" spans="2:87" x14ac:dyDescent="0.2">
      <c r="B505" t="s">
        <v>119</v>
      </c>
      <c r="D505" s="81">
        <v>0</v>
      </c>
      <c r="E505" s="81">
        <v>0</v>
      </c>
      <c r="F505" s="81">
        <v>0</v>
      </c>
      <c r="G505" s="81">
        <v>0</v>
      </c>
      <c r="H505" s="81">
        <v>0</v>
      </c>
      <c r="I505" s="81">
        <v>0</v>
      </c>
      <c r="J505" s="81">
        <v>0</v>
      </c>
      <c r="K505" s="81">
        <v>0</v>
      </c>
      <c r="L505" s="81">
        <v>0</v>
      </c>
      <c r="M505" s="81">
        <v>0</v>
      </c>
      <c r="N505" s="81">
        <v>0</v>
      </c>
      <c r="O505" s="81">
        <v>0</v>
      </c>
      <c r="P505" s="79">
        <f>+(9-$R505)/2</f>
        <v>2</v>
      </c>
      <c r="Q505" s="79">
        <f>+(9-$R505)/2</f>
        <v>2</v>
      </c>
      <c r="R505" s="81">
        <v>5</v>
      </c>
      <c r="S505" s="81">
        <v>7</v>
      </c>
      <c r="T505" s="81">
        <v>8</v>
      </c>
      <c r="U505" s="81">
        <v>9</v>
      </c>
      <c r="V505" s="81">
        <v>26</v>
      </c>
      <c r="W505" s="81">
        <v>42</v>
      </c>
      <c r="X505" s="81">
        <v>44</v>
      </c>
      <c r="Y505" s="81">
        <v>45</v>
      </c>
      <c r="Z505" s="81">
        <v>44</v>
      </c>
      <c r="AA505" s="81">
        <v>55</v>
      </c>
      <c r="AB505" s="81">
        <v>44</v>
      </c>
      <c r="AC505" s="81">
        <v>54</v>
      </c>
      <c r="AD505" s="81">
        <v>55</v>
      </c>
      <c r="AE505" s="81">
        <v>0</v>
      </c>
      <c r="AF505" s="81">
        <v>0</v>
      </c>
      <c r="AG505" s="81">
        <v>0</v>
      </c>
      <c r="AH505" s="81">
        <v>0</v>
      </c>
      <c r="AI505" s="81">
        <v>0</v>
      </c>
      <c r="AJ505" s="81">
        <v>0</v>
      </c>
      <c r="AK505" s="81">
        <v>0</v>
      </c>
      <c r="AL505" s="81">
        <v>0</v>
      </c>
      <c r="AM505" s="81">
        <v>0</v>
      </c>
      <c r="AN505" s="81">
        <v>0</v>
      </c>
      <c r="AO505" s="81">
        <v>0</v>
      </c>
      <c r="AP505" s="81">
        <v>0</v>
      </c>
      <c r="AQ505" s="81">
        <v>0</v>
      </c>
      <c r="AR505" s="81">
        <v>0</v>
      </c>
      <c r="AS505" s="81">
        <v>0</v>
      </c>
      <c r="AT505" s="81">
        <v>0</v>
      </c>
      <c r="AU505" s="81">
        <v>0</v>
      </c>
      <c r="AV505" s="81">
        <v>0</v>
      </c>
      <c r="AW505" s="81">
        <v>0</v>
      </c>
      <c r="AX505" s="81">
        <v>0</v>
      </c>
      <c r="AY505" s="81">
        <v>0</v>
      </c>
      <c r="AZ505" s="81">
        <v>0</v>
      </c>
      <c r="BA505" s="81">
        <v>0</v>
      </c>
      <c r="BB505" s="81">
        <v>0</v>
      </c>
      <c r="BC505" s="81">
        <v>0</v>
      </c>
      <c r="BD505" s="81">
        <v>0</v>
      </c>
      <c r="BE505" s="81">
        <v>0</v>
      </c>
      <c r="BF505" s="81">
        <v>0</v>
      </c>
      <c r="BG505" s="81">
        <v>0</v>
      </c>
      <c r="BH505" s="81">
        <v>0</v>
      </c>
      <c r="BI505" s="81">
        <v>0</v>
      </c>
      <c r="BJ505" s="81">
        <v>0</v>
      </c>
      <c r="BK505" s="81"/>
      <c r="BL505" s="81"/>
      <c r="BM505" s="81"/>
      <c r="BN505" s="81"/>
      <c r="BO505" s="81"/>
      <c r="BQ505" s="81">
        <v>0</v>
      </c>
      <c r="BR505" s="81">
        <v>0</v>
      </c>
      <c r="BS505" s="81">
        <v>0</v>
      </c>
      <c r="BT505" s="81">
        <v>0</v>
      </c>
      <c r="BU505" s="64">
        <f>+SUM(H505:K505)</f>
        <v>0</v>
      </c>
      <c r="BV505" s="64">
        <f>+SUM(L505:O505)</f>
        <v>0</v>
      </c>
      <c r="BW505" s="64">
        <f>+SUM(P505:S505)</f>
        <v>16</v>
      </c>
      <c r="BX505" s="64">
        <f>+SUM(T505:W505)</f>
        <v>85</v>
      </c>
      <c r="BY505" s="64">
        <f>+SUM(X505:AA505)</f>
        <v>188</v>
      </c>
      <c r="BZ505" s="64">
        <f>+SUM(AB505:AE505)</f>
        <v>153</v>
      </c>
      <c r="CA505" s="64">
        <f>+SUM(AF505:AI505)</f>
        <v>0</v>
      </c>
      <c r="CB505" s="64">
        <f>+SUM(AJ505:AM505)</f>
        <v>0</v>
      </c>
      <c r="CC505" s="64">
        <f>+SUM(AN505:AQ505)</f>
        <v>0</v>
      </c>
      <c r="CD505" s="64">
        <f>+SUM(AR505:AU505)</f>
        <v>0</v>
      </c>
      <c r="CE505" s="64">
        <f>+SUM(AV505:AY505)</f>
        <v>0</v>
      </c>
      <c r="CF505" s="64">
        <f>+SUM(AZ505:BC505)</f>
        <v>0</v>
      </c>
      <c r="CG505" s="64">
        <f>+SUM(BD505:BG505)</f>
        <v>0</v>
      </c>
      <c r="CH505" s="64"/>
      <c r="CI505" s="64"/>
    </row>
    <row r="506" spans="2:87" x14ac:dyDescent="0.2">
      <c r="B506" t="s">
        <v>121</v>
      </c>
      <c r="D506" s="81">
        <v>0</v>
      </c>
      <c r="E506" s="81">
        <v>0</v>
      </c>
      <c r="F506" s="81">
        <v>0</v>
      </c>
      <c r="G506" s="81">
        <v>0</v>
      </c>
      <c r="H506" s="81">
        <v>0</v>
      </c>
      <c r="I506" s="81">
        <v>0</v>
      </c>
      <c r="J506" s="81">
        <v>0</v>
      </c>
      <c r="K506" s="81">
        <v>0</v>
      </c>
      <c r="L506" s="81">
        <v>0</v>
      </c>
      <c r="M506" s="81">
        <v>0</v>
      </c>
      <c r="N506" s="81">
        <v>0</v>
      </c>
      <c r="O506" s="81">
        <v>0</v>
      </c>
      <c r="P506" s="79">
        <f>+(28-$R506)/2</f>
        <v>9.5</v>
      </c>
      <c r="Q506" s="79">
        <f>+(28-$R506)/2</f>
        <v>9.5</v>
      </c>
      <c r="R506" s="81">
        <v>9</v>
      </c>
      <c r="S506" s="81">
        <v>8</v>
      </c>
      <c r="T506" s="81">
        <v>8</v>
      </c>
      <c r="U506" s="81">
        <v>8</v>
      </c>
      <c r="V506" s="81">
        <v>9</v>
      </c>
      <c r="W506" s="81">
        <v>10</v>
      </c>
      <c r="X506" s="81">
        <v>10</v>
      </c>
      <c r="Y506" s="81">
        <v>10</v>
      </c>
      <c r="Z506" s="81">
        <v>10</v>
      </c>
      <c r="AA506" s="81">
        <v>9</v>
      </c>
      <c r="AB506" s="81">
        <v>9</v>
      </c>
      <c r="AC506" s="81">
        <v>9</v>
      </c>
      <c r="AD506" s="81">
        <v>9</v>
      </c>
      <c r="AE506" s="81">
        <v>0</v>
      </c>
      <c r="AF506" s="81">
        <v>0</v>
      </c>
      <c r="AG506" s="81">
        <v>0</v>
      </c>
      <c r="AH506" s="81">
        <v>0</v>
      </c>
      <c r="AI506" s="81">
        <v>0</v>
      </c>
      <c r="AJ506" s="81">
        <v>0</v>
      </c>
      <c r="AK506" s="81">
        <v>0</v>
      </c>
      <c r="AL506" s="81">
        <v>0</v>
      </c>
      <c r="AM506" s="81">
        <v>0</v>
      </c>
      <c r="AN506" s="81">
        <v>0</v>
      </c>
      <c r="AO506" s="81">
        <v>0</v>
      </c>
      <c r="AP506" s="81">
        <v>0</v>
      </c>
      <c r="AQ506" s="81">
        <v>0</v>
      </c>
      <c r="AR506" s="81">
        <v>0</v>
      </c>
      <c r="AS506" s="81">
        <v>0</v>
      </c>
      <c r="AT506" s="81">
        <v>0</v>
      </c>
      <c r="AU506" s="81">
        <v>0</v>
      </c>
      <c r="AV506" s="81">
        <v>0</v>
      </c>
      <c r="AW506" s="81">
        <v>0</v>
      </c>
      <c r="AX506" s="81">
        <v>0</v>
      </c>
      <c r="AY506" s="81">
        <v>0</v>
      </c>
      <c r="AZ506" s="81">
        <v>0</v>
      </c>
      <c r="BA506" s="81">
        <v>0</v>
      </c>
      <c r="BB506" s="81">
        <v>0</v>
      </c>
      <c r="BC506" s="81">
        <v>0</v>
      </c>
      <c r="BD506" s="81">
        <v>0</v>
      </c>
      <c r="BE506" s="81">
        <v>0</v>
      </c>
      <c r="BF506" s="81">
        <v>0</v>
      </c>
      <c r="BG506" s="81">
        <v>0</v>
      </c>
      <c r="BH506" s="81">
        <v>0</v>
      </c>
      <c r="BI506" s="81">
        <v>0</v>
      </c>
      <c r="BJ506" s="81">
        <v>0</v>
      </c>
      <c r="BK506" s="81"/>
      <c r="BL506" s="81"/>
      <c r="BM506" s="81"/>
      <c r="BN506" s="81"/>
      <c r="BO506" s="81"/>
      <c r="BQ506" s="81">
        <v>0</v>
      </c>
      <c r="BR506" s="81">
        <v>0</v>
      </c>
      <c r="BS506" s="81">
        <v>0</v>
      </c>
      <c r="BT506" s="81">
        <v>0</v>
      </c>
      <c r="BU506" s="64">
        <f>+SUM(H506:K506)</f>
        <v>0</v>
      </c>
      <c r="BV506" s="64">
        <f>+SUM(L506:O506)</f>
        <v>0</v>
      </c>
      <c r="BW506" s="64">
        <f>+SUM(P506:S506)</f>
        <v>36</v>
      </c>
      <c r="BX506" s="64">
        <f>+SUM(T506:W506)</f>
        <v>35</v>
      </c>
      <c r="BY506" s="64">
        <f>+SUM(X506:AA506)</f>
        <v>39</v>
      </c>
      <c r="BZ506" s="64">
        <f>+SUM(AB506:AE506)</f>
        <v>27</v>
      </c>
      <c r="CA506" s="64">
        <f>+SUM(AF506:AI506)</f>
        <v>0</v>
      </c>
      <c r="CB506" s="64">
        <f>+SUM(AJ506:AM506)</f>
        <v>0</v>
      </c>
      <c r="CC506" s="64">
        <f>+SUM(AN506:AQ506)</f>
        <v>0</v>
      </c>
      <c r="CD506" s="64">
        <f>+SUM(AR506:AU506)</f>
        <v>0</v>
      </c>
      <c r="CE506" s="64">
        <f>+SUM(AV506:AY506)</f>
        <v>0</v>
      </c>
      <c r="CF506" s="64">
        <f>+SUM(AZ506:BC506)</f>
        <v>0</v>
      </c>
      <c r="CG506" s="64">
        <f>+SUM(BD506:BG506)</f>
        <v>0</v>
      </c>
      <c r="CH506" s="64"/>
      <c r="CI506" s="64"/>
    </row>
    <row r="507" spans="2:87" x14ac:dyDescent="0.2">
      <c r="B507" t="s">
        <v>122</v>
      </c>
      <c r="D507" s="81">
        <v>0</v>
      </c>
      <c r="E507" s="81">
        <v>0</v>
      </c>
      <c r="F507" s="81">
        <v>0</v>
      </c>
      <c r="G507" s="81">
        <v>0</v>
      </c>
      <c r="H507" s="81">
        <v>0</v>
      </c>
      <c r="I507" s="81">
        <v>0</v>
      </c>
      <c r="J507" s="81">
        <v>0</v>
      </c>
      <c r="K507" s="81">
        <v>0</v>
      </c>
      <c r="L507" s="81">
        <v>0</v>
      </c>
      <c r="M507" s="81">
        <v>0</v>
      </c>
      <c r="N507" s="81">
        <v>0</v>
      </c>
      <c r="O507" s="81">
        <v>0</v>
      </c>
      <c r="P507" s="79">
        <f>+(3-$R507)/2</f>
        <v>1</v>
      </c>
      <c r="Q507" s="79">
        <f>+(3-$R507)/2</f>
        <v>1</v>
      </c>
      <c r="R507" s="81">
        <v>1</v>
      </c>
      <c r="S507" s="81">
        <v>1</v>
      </c>
      <c r="T507" s="81">
        <v>1</v>
      </c>
      <c r="U507" s="81">
        <v>1</v>
      </c>
      <c r="V507" s="81">
        <v>1</v>
      </c>
      <c r="W507" s="81">
        <v>102</v>
      </c>
      <c r="X507" s="81">
        <v>102</v>
      </c>
      <c r="Y507" s="81">
        <v>102</v>
      </c>
      <c r="Z507" s="81">
        <v>102</v>
      </c>
      <c r="AA507" s="81">
        <v>103</v>
      </c>
      <c r="AB507" s="81">
        <v>104</v>
      </c>
      <c r="AC507" s="81">
        <v>108</v>
      </c>
      <c r="AD507" s="81">
        <v>109</v>
      </c>
      <c r="AE507" s="81">
        <v>0</v>
      </c>
      <c r="AF507" s="81">
        <v>0</v>
      </c>
      <c r="AG507" s="81">
        <v>0</v>
      </c>
      <c r="AH507" s="81">
        <v>0</v>
      </c>
      <c r="AI507" s="81">
        <v>0</v>
      </c>
      <c r="AJ507" s="81">
        <v>0</v>
      </c>
      <c r="AK507" s="81">
        <v>0</v>
      </c>
      <c r="AL507" s="81">
        <v>0</v>
      </c>
      <c r="AM507" s="81">
        <v>0</v>
      </c>
      <c r="AN507" s="81">
        <v>0</v>
      </c>
      <c r="AO507" s="81">
        <v>0</v>
      </c>
      <c r="AP507" s="81">
        <v>0</v>
      </c>
      <c r="AQ507" s="81">
        <v>0</v>
      </c>
      <c r="AR507" s="81">
        <v>0</v>
      </c>
      <c r="AS507" s="81">
        <v>0</v>
      </c>
      <c r="AT507" s="81">
        <v>0</v>
      </c>
      <c r="AU507" s="81">
        <v>0</v>
      </c>
      <c r="AV507" s="81">
        <v>0</v>
      </c>
      <c r="AW507" s="81">
        <v>0</v>
      </c>
      <c r="AX507" s="81">
        <v>0</v>
      </c>
      <c r="AY507" s="81">
        <v>0</v>
      </c>
      <c r="AZ507" s="81">
        <v>0</v>
      </c>
      <c r="BA507" s="81">
        <v>0</v>
      </c>
      <c r="BB507" s="81">
        <v>0</v>
      </c>
      <c r="BC507" s="81">
        <v>0</v>
      </c>
      <c r="BD507" s="81">
        <v>0</v>
      </c>
      <c r="BE507" s="81">
        <v>0</v>
      </c>
      <c r="BF507" s="81">
        <v>0</v>
      </c>
      <c r="BG507" s="81">
        <v>0</v>
      </c>
      <c r="BH507" s="81">
        <v>0</v>
      </c>
      <c r="BI507" s="81">
        <v>0</v>
      </c>
      <c r="BJ507" s="81">
        <v>0</v>
      </c>
      <c r="BK507" s="81"/>
      <c r="BL507" s="81"/>
      <c r="BM507" s="81"/>
      <c r="BN507" s="81"/>
      <c r="BO507" s="81"/>
      <c r="BQ507" s="81">
        <v>0</v>
      </c>
      <c r="BR507" s="81">
        <v>0</v>
      </c>
      <c r="BS507" s="81">
        <v>0</v>
      </c>
      <c r="BT507" s="81">
        <v>0</v>
      </c>
      <c r="BU507" s="64">
        <f>+SUM(H507:K507)</f>
        <v>0</v>
      </c>
      <c r="BV507" s="64">
        <f>+SUM(L507:O507)</f>
        <v>0</v>
      </c>
      <c r="BW507" s="64">
        <f>+SUM(P507:S507)</f>
        <v>4</v>
      </c>
      <c r="BX507" s="64">
        <f>+SUM(T507:W507)</f>
        <v>105</v>
      </c>
      <c r="BY507" s="64">
        <f>+SUM(X507:AA507)</f>
        <v>409</v>
      </c>
      <c r="BZ507" s="64">
        <f>+SUM(AB507:AE507)</f>
        <v>321</v>
      </c>
      <c r="CA507" s="64">
        <f>+SUM(AF507:AI507)</f>
        <v>0</v>
      </c>
      <c r="CB507" s="64">
        <f>+SUM(AJ507:AM507)</f>
        <v>0</v>
      </c>
      <c r="CC507" s="64">
        <f>+SUM(AN507:AQ507)</f>
        <v>0</v>
      </c>
      <c r="CD507" s="64">
        <f>+SUM(AR507:AU507)</f>
        <v>0</v>
      </c>
      <c r="CE507" s="64">
        <f>+SUM(AV507:AY507)</f>
        <v>0</v>
      </c>
      <c r="CF507" s="64">
        <f>+SUM(AZ507:BC507)</f>
        <v>0</v>
      </c>
      <c r="CG507" s="64">
        <f>+SUM(BD507:BG507)</f>
        <v>0</v>
      </c>
      <c r="CH507" s="64"/>
      <c r="CI507" s="64"/>
    </row>
    <row r="508" spans="2:87" ht="13.5" x14ac:dyDescent="0.35">
      <c r="B508" t="s">
        <v>123</v>
      </c>
      <c r="D508" s="82">
        <v>0</v>
      </c>
      <c r="E508" s="82">
        <v>0</v>
      </c>
      <c r="F508" s="82">
        <v>0</v>
      </c>
      <c r="G508" s="82">
        <v>0</v>
      </c>
      <c r="H508" s="82">
        <v>0</v>
      </c>
      <c r="I508" s="82">
        <v>0</v>
      </c>
      <c r="J508" s="82">
        <v>0</v>
      </c>
      <c r="K508" s="82">
        <v>0</v>
      </c>
      <c r="L508" s="82">
        <v>0</v>
      </c>
      <c r="M508" s="82">
        <v>0</v>
      </c>
      <c r="N508" s="82">
        <v>0</v>
      </c>
      <c r="O508" s="82">
        <v>0</v>
      </c>
      <c r="P508" s="71">
        <f>+(66-$R508)/2</f>
        <v>22</v>
      </c>
      <c r="Q508" s="71">
        <f>+(66-$R508)/2</f>
        <v>22</v>
      </c>
      <c r="R508" s="82">
        <v>22</v>
      </c>
      <c r="S508" s="82">
        <v>23</v>
      </c>
      <c r="T508" s="82">
        <v>24</v>
      </c>
      <c r="U508" s="82">
        <v>23</v>
      </c>
      <c r="V508" s="82">
        <v>23</v>
      </c>
      <c r="W508" s="82">
        <v>23</v>
      </c>
      <c r="X508" s="82">
        <v>23</v>
      </c>
      <c r="Y508" s="82">
        <v>23</v>
      </c>
      <c r="Z508" s="82">
        <v>24</v>
      </c>
      <c r="AA508" s="82">
        <v>24</v>
      </c>
      <c r="AB508" s="82">
        <v>23</v>
      </c>
      <c r="AC508" s="82">
        <v>22</v>
      </c>
      <c r="AD508" s="82">
        <v>22</v>
      </c>
      <c r="AE508" s="82">
        <v>0</v>
      </c>
      <c r="AF508" s="82">
        <v>0</v>
      </c>
      <c r="AG508" s="82">
        <v>0</v>
      </c>
      <c r="AH508" s="82">
        <v>0</v>
      </c>
      <c r="AI508" s="82">
        <v>0</v>
      </c>
      <c r="AJ508" s="82">
        <v>0</v>
      </c>
      <c r="AK508" s="82">
        <v>0</v>
      </c>
      <c r="AL508" s="82">
        <v>0</v>
      </c>
      <c r="AM508" s="82">
        <v>0</v>
      </c>
      <c r="AN508" s="82">
        <v>0</v>
      </c>
      <c r="AO508" s="82">
        <v>0</v>
      </c>
      <c r="AP508" s="82">
        <v>0</v>
      </c>
      <c r="AQ508" s="82">
        <v>0</v>
      </c>
      <c r="AR508" s="82">
        <v>0</v>
      </c>
      <c r="AS508" s="82">
        <v>0</v>
      </c>
      <c r="AT508" s="82">
        <v>0</v>
      </c>
      <c r="AU508" s="82">
        <v>0</v>
      </c>
      <c r="AV508" s="82">
        <v>0</v>
      </c>
      <c r="AW508" s="82">
        <v>0</v>
      </c>
      <c r="AX508" s="82">
        <v>0</v>
      </c>
      <c r="AY508" s="82">
        <v>0</v>
      </c>
      <c r="AZ508" s="82">
        <v>0</v>
      </c>
      <c r="BA508" s="82">
        <v>0</v>
      </c>
      <c r="BB508" s="82">
        <v>0</v>
      </c>
      <c r="BC508" s="82">
        <v>0</v>
      </c>
      <c r="BD508" s="82">
        <v>0</v>
      </c>
      <c r="BE508" s="82">
        <v>0</v>
      </c>
      <c r="BF508" s="82">
        <v>0</v>
      </c>
      <c r="BG508" s="82">
        <v>0</v>
      </c>
      <c r="BH508" s="82">
        <v>0</v>
      </c>
      <c r="BI508" s="82">
        <v>0</v>
      </c>
      <c r="BJ508" s="82">
        <v>0</v>
      </c>
      <c r="BK508" s="82"/>
      <c r="BL508" s="82"/>
      <c r="BM508" s="82"/>
      <c r="BN508" s="82"/>
      <c r="BO508" s="82"/>
      <c r="BQ508" s="82">
        <v>0</v>
      </c>
      <c r="BR508" s="82">
        <v>0</v>
      </c>
      <c r="BS508" s="82">
        <v>0</v>
      </c>
      <c r="BT508" s="82">
        <v>0</v>
      </c>
      <c r="BU508" s="65">
        <f>+SUM(H508:K508)</f>
        <v>0</v>
      </c>
      <c r="BV508" s="65">
        <f>+SUM(L508:O508)</f>
        <v>0</v>
      </c>
      <c r="BW508" s="65">
        <f>+SUM(P508:S508)</f>
        <v>89</v>
      </c>
      <c r="BX508" s="65">
        <f>+SUM(T508:W508)</f>
        <v>93</v>
      </c>
      <c r="BY508" s="65">
        <f>+SUM(X508:AA508)</f>
        <v>94</v>
      </c>
      <c r="BZ508" s="65">
        <f>+SUM(AB508:AE508)</f>
        <v>67</v>
      </c>
      <c r="CA508" s="65">
        <f>+SUM(AF508:AI508)</f>
        <v>0</v>
      </c>
      <c r="CB508" s="65">
        <f>+SUM(AJ508:AM508)</f>
        <v>0</v>
      </c>
      <c r="CC508" s="65">
        <f>+SUM(AN508:AQ508)</f>
        <v>0</v>
      </c>
      <c r="CD508" s="65">
        <f>+SUM(AR508:AU508)</f>
        <v>0</v>
      </c>
      <c r="CE508" s="65">
        <f>+SUM(AV508:AY508)</f>
        <v>0</v>
      </c>
      <c r="CF508" s="65">
        <f>+SUM(AZ508:BC508)</f>
        <v>0</v>
      </c>
      <c r="CG508" s="65">
        <f>+SUM(BD508:BG508)</f>
        <v>0</v>
      </c>
      <c r="CH508" s="65"/>
      <c r="CI508" s="65"/>
    </row>
    <row r="509" spans="2:87" x14ac:dyDescent="0.2">
      <c r="B509" s="70" t="s">
        <v>245</v>
      </c>
      <c r="D509" s="64">
        <f t="shared" ref="D509:CB509" si="885">SUM(D505:D508)</f>
        <v>0</v>
      </c>
      <c r="E509" s="64">
        <f t="shared" si="885"/>
        <v>0</v>
      </c>
      <c r="F509" s="64">
        <f t="shared" si="885"/>
        <v>0</v>
      </c>
      <c r="G509" s="64">
        <f t="shared" si="885"/>
        <v>0</v>
      </c>
      <c r="H509" s="64">
        <f t="shared" si="885"/>
        <v>0</v>
      </c>
      <c r="I509" s="64">
        <f t="shared" si="885"/>
        <v>0</v>
      </c>
      <c r="J509" s="64">
        <f t="shared" si="885"/>
        <v>0</v>
      </c>
      <c r="K509" s="64">
        <f t="shared" si="885"/>
        <v>0</v>
      </c>
      <c r="L509" s="64">
        <f t="shared" si="885"/>
        <v>0</v>
      </c>
      <c r="M509" s="64">
        <f t="shared" si="885"/>
        <v>0</v>
      </c>
      <c r="N509" s="64">
        <f t="shared" si="885"/>
        <v>0</v>
      </c>
      <c r="O509" s="64">
        <f t="shared" si="885"/>
        <v>0</v>
      </c>
      <c r="P509" s="64">
        <f t="shared" si="885"/>
        <v>34.5</v>
      </c>
      <c r="Q509" s="64">
        <f t="shared" si="885"/>
        <v>34.5</v>
      </c>
      <c r="R509" s="64">
        <f t="shared" si="885"/>
        <v>37</v>
      </c>
      <c r="S509" s="64">
        <f t="shared" si="885"/>
        <v>39</v>
      </c>
      <c r="T509" s="64">
        <f t="shared" si="885"/>
        <v>41</v>
      </c>
      <c r="U509" s="64">
        <f t="shared" si="885"/>
        <v>41</v>
      </c>
      <c r="V509" s="64">
        <f t="shared" si="885"/>
        <v>59</v>
      </c>
      <c r="W509" s="64">
        <f t="shared" si="885"/>
        <v>177</v>
      </c>
      <c r="X509" s="64">
        <f t="shared" si="885"/>
        <v>179</v>
      </c>
      <c r="Y509" s="64">
        <f t="shared" si="885"/>
        <v>180</v>
      </c>
      <c r="Z509" s="64">
        <f t="shared" si="885"/>
        <v>180</v>
      </c>
      <c r="AA509" s="64">
        <f t="shared" si="885"/>
        <v>191</v>
      </c>
      <c r="AB509" s="64">
        <f t="shared" si="885"/>
        <v>180</v>
      </c>
      <c r="AC509" s="64">
        <f t="shared" si="885"/>
        <v>193</v>
      </c>
      <c r="AD509" s="64">
        <f t="shared" si="885"/>
        <v>195</v>
      </c>
      <c r="AE509" s="64">
        <f t="shared" si="885"/>
        <v>0</v>
      </c>
      <c r="AF509" s="64">
        <f t="shared" si="885"/>
        <v>0</v>
      </c>
      <c r="AG509" s="64">
        <f t="shared" si="885"/>
        <v>0</v>
      </c>
      <c r="AH509" s="64">
        <f t="shared" si="885"/>
        <v>0</v>
      </c>
      <c r="AI509" s="64">
        <f t="shared" si="885"/>
        <v>0</v>
      </c>
      <c r="AJ509" s="64">
        <f t="shared" si="885"/>
        <v>0</v>
      </c>
      <c r="AK509" s="64">
        <f t="shared" si="885"/>
        <v>0</v>
      </c>
      <c r="AL509" s="64">
        <f t="shared" si="885"/>
        <v>0</v>
      </c>
      <c r="AM509" s="64">
        <f t="shared" si="885"/>
        <v>0</v>
      </c>
      <c r="AN509" s="64">
        <f t="shared" si="885"/>
        <v>0</v>
      </c>
      <c r="AO509" s="64">
        <f t="shared" si="885"/>
        <v>0</v>
      </c>
      <c r="AP509" s="64">
        <f t="shared" si="885"/>
        <v>0</v>
      </c>
      <c r="AQ509" s="64">
        <f t="shared" si="885"/>
        <v>0</v>
      </c>
      <c r="AR509" s="64">
        <f t="shared" si="885"/>
        <v>0</v>
      </c>
      <c r="AS509" s="64">
        <f t="shared" si="885"/>
        <v>0</v>
      </c>
      <c r="AT509" s="64">
        <f t="shared" si="885"/>
        <v>0</v>
      </c>
      <c r="AU509" s="64">
        <f t="shared" ref="AU509:AZ509" si="886">SUM(AU505:AU508)</f>
        <v>0</v>
      </c>
      <c r="AV509" s="64">
        <f t="shared" si="886"/>
        <v>0</v>
      </c>
      <c r="AW509" s="64">
        <f t="shared" si="886"/>
        <v>0</v>
      </c>
      <c r="AX509" s="64">
        <f t="shared" si="886"/>
        <v>0</v>
      </c>
      <c r="AY509" s="64">
        <f t="shared" si="886"/>
        <v>0</v>
      </c>
      <c r="AZ509" s="64">
        <f t="shared" si="886"/>
        <v>0</v>
      </c>
      <c r="BA509" s="64">
        <f t="shared" ref="BA509:BI509" si="887">SUM(BA505:BA508)</f>
        <v>0</v>
      </c>
      <c r="BB509" s="64">
        <f t="shared" si="887"/>
        <v>0</v>
      </c>
      <c r="BC509" s="64">
        <f t="shared" si="887"/>
        <v>0</v>
      </c>
      <c r="BD509" s="64">
        <f t="shared" si="887"/>
        <v>0</v>
      </c>
      <c r="BE509" s="64">
        <f t="shared" si="887"/>
        <v>0</v>
      </c>
      <c r="BF509" s="64">
        <f t="shared" si="887"/>
        <v>0</v>
      </c>
      <c r="BG509" s="64">
        <f t="shared" si="887"/>
        <v>0</v>
      </c>
      <c r="BH509" s="64">
        <f t="shared" si="887"/>
        <v>0</v>
      </c>
      <c r="BI509" s="64">
        <f t="shared" si="887"/>
        <v>0</v>
      </c>
      <c r="BJ509" s="64">
        <f t="shared" ref="BJ509" si="888">SUM(BJ505:BJ508)</f>
        <v>0</v>
      </c>
      <c r="BK509" s="64"/>
      <c r="BL509" s="64"/>
      <c r="BM509" s="64"/>
      <c r="BN509" s="64"/>
      <c r="BO509" s="64"/>
      <c r="BQ509" s="64">
        <f t="shared" si="885"/>
        <v>0</v>
      </c>
      <c r="BR509" s="64">
        <f t="shared" si="885"/>
        <v>0</v>
      </c>
      <c r="BS509" s="64">
        <f t="shared" si="885"/>
        <v>0</v>
      </c>
      <c r="BT509" s="64">
        <f t="shared" si="885"/>
        <v>0</v>
      </c>
      <c r="BU509" s="64">
        <f t="shared" si="885"/>
        <v>0</v>
      </c>
      <c r="BV509" s="64">
        <f t="shared" si="885"/>
        <v>0</v>
      </c>
      <c r="BW509" s="64">
        <f t="shared" si="885"/>
        <v>145</v>
      </c>
      <c r="BX509" s="64">
        <f t="shared" si="885"/>
        <v>318</v>
      </c>
      <c r="BY509" s="64">
        <f t="shared" si="885"/>
        <v>730</v>
      </c>
      <c r="BZ509" s="64">
        <f t="shared" si="885"/>
        <v>568</v>
      </c>
      <c r="CA509" s="64">
        <f t="shared" si="885"/>
        <v>0</v>
      </c>
      <c r="CB509" s="64">
        <f t="shared" si="885"/>
        <v>0</v>
      </c>
      <c r="CC509" s="64">
        <f>+SUM(AN509:AQ509)</f>
        <v>0</v>
      </c>
      <c r="CD509" s="64">
        <f>+SUM(AR509:AU509)</f>
        <v>0</v>
      </c>
      <c r="CE509" s="64">
        <f>+SUM(AV509:AY509)</f>
        <v>0</v>
      </c>
      <c r="CF509" s="64">
        <f>+SUM(AZ509:BC509)</f>
        <v>0</v>
      </c>
      <c r="CG509" s="64">
        <f>+SUM(BD509:BG509)</f>
        <v>0</v>
      </c>
      <c r="CH509" s="64"/>
      <c r="CI509" s="64"/>
    </row>
    <row r="510" spans="2:87" x14ac:dyDescent="0.2">
      <c r="B510" s="101" t="s">
        <v>20</v>
      </c>
      <c r="C510" s="107"/>
      <c r="D510" s="107">
        <f>+D509/D$412</f>
        <v>0</v>
      </c>
      <c r="E510" s="107">
        <f t="shared" ref="E510:CD510" si="889">+E509/E$412</f>
        <v>0</v>
      </c>
      <c r="F510" s="107">
        <f t="shared" si="889"/>
        <v>0</v>
      </c>
      <c r="G510" s="107">
        <f t="shared" si="889"/>
        <v>0</v>
      </c>
      <c r="H510" s="107">
        <f t="shared" si="889"/>
        <v>0</v>
      </c>
      <c r="I510" s="107">
        <f t="shared" si="889"/>
        <v>0</v>
      </c>
      <c r="J510" s="107">
        <f t="shared" si="889"/>
        <v>0</v>
      </c>
      <c r="K510" s="107">
        <f t="shared" si="889"/>
        <v>0</v>
      </c>
      <c r="L510" s="107">
        <f t="shared" si="889"/>
        <v>0</v>
      </c>
      <c r="M510" s="107">
        <f t="shared" si="889"/>
        <v>0</v>
      </c>
      <c r="N510" s="107">
        <f t="shared" si="889"/>
        <v>0</v>
      </c>
      <c r="O510" s="107">
        <f t="shared" si="889"/>
        <v>0</v>
      </c>
      <c r="P510" s="107">
        <f t="shared" si="889"/>
        <v>2.3662551440329218E-2</v>
      </c>
      <c r="Q510" s="107">
        <f t="shared" si="889"/>
        <v>1.9029233314947602E-2</v>
      </c>
      <c r="R510" s="107">
        <f t="shared" si="889"/>
        <v>1.8353174603174604E-2</v>
      </c>
      <c r="S510" s="107">
        <f t="shared" si="889"/>
        <v>1.5087040618955513E-2</v>
      </c>
      <c r="T510" s="107">
        <f t="shared" si="889"/>
        <v>1.6386890487609912E-2</v>
      </c>
      <c r="U510" s="107">
        <f t="shared" si="889"/>
        <v>1.4089347079037801E-2</v>
      </c>
      <c r="V510" s="107">
        <f t="shared" si="889"/>
        <v>1.8420231033406183E-2</v>
      </c>
      <c r="W510" s="107">
        <f t="shared" si="889"/>
        <v>4.5962087769410541E-2</v>
      </c>
      <c r="X510" s="107">
        <f t="shared" si="889"/>
        <v>5.0522156364662715E-2</v>
      </c>
      <c r="Y510" s="107">
        <f t="shared" si="889"/>
        <v>4.4532409698169226E-2</v>
      </c>
      <c r="Z510" s="107">
        <f t="shared" si="889"/>
        <v>3.9991113085980891E-2</v>
      </c>
      <c r="AA510" s="107">
        <f t="shared" si="889"/>
        <v>3.2699880157507279E-2</v>
      </c>
      <c r="AB510" s="107">
        <f t="shared" si="889"/>
        <v>3.3444816053511704E-2</v>
      </c>
      <c r="AC510" s="107">
        <f t="shared" si="889"/>
        <v>2.9987569919204475E-2</v>
      </c>
      <c r="AD510" s="107">
        <f t="shared" si="889"/>
        <v>2.7813436029097131E-2</v>
      </c>
      <c r="AE510" s="107">
        <f t="shared" si="889"/>
        <v>0</v>
      </c>
      <c r="AF510" s="107">
        <f t="shared" si="889"/>
        <v>0</v>
      </c>
      <c r="AG510" s="107">
        <f t="shared" si="889"/>
        <v>0</v>
      </c>
      <c r="AH510" s="107">
        <f t="shared" si="889"/>
        <v>0</v>
      </c>
      <c r="AI510" s="107">
        <f t="shared" si="889"/>
        <v>0</v>
      </c>
      <c r="AJ510" s="107">
        <f t="shared" si="889"/>
        <v>0</v>
      </c>
      <c r="AK510" s="107">
        <f t="shared" si="889"/>
        <v>0</v>
      </c>
      <c r="AL510" s="107">
        <f t="shared" si="889"/>
        <v>0</v>
      </c>
      <c r="AM510" s="107">
        <f t="shared" si="889"/>
        <v>0</v>
      </c>
      <c r="AN510" s="107">
        <f t="shared" si="889"/>
        <v>0</v>
      </c>
      <c r="AO510" s="107">
        <f t="shared" si="889"/>
        <v>0</v>
      </c>
      <c r="AP510" s="107">
        <f t="shared" si="889"/>
        <v>0</v>
      </c>
      <c r="AQ510" s="107">
        <f t="shared" si="889"/>
        <v>0</v>
      </c>
      <c r="AR510" s="107">
        <f t="shared" si="889"/>
        <v>0</v>
      </c>
      <c r="AS510" s="107">
        <f t="shared" si="889"/>
        <v>0</v>
      </c>
      <c r="AT510" s="107">
        <f t="shared" si="889"/>
        <v>0</v>
      </c>
      <c r="AU510" s="107">
        <f t="shared" ref="AU510:AZ510" si="890">+AU509/AU$412</f>
        <v>0</v>
      </c>
      <c r="AV510" s="107">
        <f t="shared" si="890"/>
        <v>0</v>
      </c>
      <c r="AW510" s="107">
        <f t="shared" si="890"/>
        <v>0</v>
      </c>
      <c r="AX510" s="107">
        <f t="shared" si="890"/>
        <v>0</v>
      </c>
      <c r="AY510" s="107">
        <f t="shared" si="890"/>
        <v>0</v>
      </c>
      <c r="AZ510" s="107">
        <f t="shared" si="890"/>
        <v>0</v>
      </c>
      <c r="BA510" s="107">
        <f t="shared" ref="BA510:BI510" si="891">+BA509/BA$412</f>
        <v>0</v>
      </c>
      <c r="BB510" s="107">
        <f t="shared" si="891"/>
        <v>0</v>
      </c>
      <c r="BC510" s="107">
        <f t="shared" si="891"/>
        <v>0</v>
      </c>
      <c r="BD510" s="107">
        <f t="shared" si="891"/>
        <v>0</v>
      </c>
      <c r="BE510" s="107">
        <f t="shared" si="891"/>
        <v>0</v>
      </c>
      <c r="BF510" s="107">
        <f t="shared" si="891"/>
        <v>0</v>
      </c>
      <c r="BG510" s="107">
        <f t="shared" si="891"/>
        <v>0</v>
      </c>
      <c r="BH510" s="107">
        <f t="shared" si="891"/>
        <v>0</v>
      </c>
      <c r="BI510" s="107">
        <f t="shared" si="891"/>
        <v>0</v>
      </c>
      <c r="BJ510" s="107">
        <f t="shared" ref="BJ510" si="892">+BJ509/BJ$412</f>
        <v>0</v>
      </c>
      <c r="BK510" s="107"/>
      <c r="BL510" s="107"/>
      <c r="BM510" s="107"/>
      <c r="BN510" s="107"/>
      <c r="BO510" s="107"/>
      <c r="BP510" s="107"/>
      <c r="BQ510" s="107">
        <f t="shared" si="889"/>
        <v>0</v>
      </c>
      <c r="BR510" s="107">
        <f t="shared" si="889"/>
        <v>0</v>
      </c>
      <c r="BS510" s="107">
        <f t="shared" si="889"/>
        <v>0</v>
      </c>
      <c r="BT510" s="107">
        <f t="shared" si="889"/>
        <v>0</v>
      </c>
      <c r="BU510" s="107">
        <f t="shared" si="889"/>
        <v>0</v>
      </c>
      <c r="BV510" s="107">
        <f t="shared" si="889"/>
        <v>0</v>
      </c>
      <c r="BW510" s="107">
        <f t="shared" si="889"/>
        <v>1.8419715447154473E-2</v>
      </c>
      <c r="BX510" s="107">
        <f t="shared" si="889"/>
        <v>2.5509385528637896E-2</v>
      </c>
      <c r="BY510" s="107">
        <f t="shared" si="889"/>
        <v>4.0720700619177777E-2</v>
      </c>
      <c r="BZ510" s="107">
        <f t="shared" si="889"/>
        <v>2.0551414718865329E-2</v>
      </c>
      <c r="CA510" s="107">
        <f t="shared" si="889"/>
        <v>0</v>
      </c>
      <c r="CB510" s="107">
        <f t="shared" si="889"/>
        <v>0</v>
      </c>
      <c r="CC510" s="107">
        <f t="shared" si="889"/>
        <v>0</v>
      </c>
      <c r="CD510" s="107">
        <f t="shared" si="889"/>
        <v>0</v>
      </c>
      <c r="CE510" s="107">
        <f>+CE509/CE$412</f>
        <v>0</v>
      </c>
      <c r="CF510" s="107">
        <f>+CF509/CF$412</f>
        <v>0</v>
      </c>
      <c r="CG510" s="107">
        <f>+CG509/CG$412</f>
        <v>0</v>
      </c>
      <c r="CH510" s="107"/>
      <c r="CI510" s="107"/>
    </row>
    <row r="512" spans="2:87" x14ac:dyDescent="0.2">
      <c r="B512" t="s">
        <v>144</v>
      </c>
      <c r="H512" s="81">
        <f>2315*2-I512</f>
        <v>2293</v>
      </c>
      <c r="I512" s="81">
        <v>2337</v>
      </c>
      <c r="J512" s="81">
        <v>2346</v>
      </c>
      <c r="K512" s="81">
        <v>2350</v>
      </c>
      <c r="L512" s="81">
        <v>2306</v>
      </c>
      <c r="M512" s="81">
        <v>2451</v>
      </c>
      <c r="N512" s="81">
        <v>2579</v>
      </c>
      <c r="O512" s="81">
        <v>2506</v>
      </c>
      <c r="P512" s="81">
        <v>2499</v>
      </c>
      <c r="Q512" s="81">
        <v>2502</v>
      </c>
      <c r="R512" s="81">
        <v>2528</v>
      </c>
      <c r="S512" s="81">
        <v>2558</v>
      </c>
      <c r="T512" s="81">
        <v>2609</v>
      </c>
      <c r="U512" s="81">
        <v>2615</v>
      </c>
      <c r="V512" s="81">
        <v>2644</v>
      </c>
      <c r="W512" s="81">
        <v>2816</v>
      </c>
      <c r="X512" s="81">
        <v>2836</v>
      </c>
      <c r="Y512" s="81">
        <v>2850</v>
      </c>
      <c r="Z512" s="81">
        <v>2863</v>
      </c>
      <c r="AA512" s="81">
        <v>2878</v>
      </c>
      <c r="AB512" s="81">
        <v>2905</v>
      </c>
      <c r="AC512" s="81">
        <v>2921</v>
      </c>
      <c r="AD512" s="81">
        <v>2931</v>
      </c>
      <c r="AE512" s="81">
        <v>2938</v>
      </c>
      <c r="AF512" s="81">
        <v>2944</v>
      </c>
      <c r="AG512" s="81">
        <v>2951</v>
      </c>
      <c r="AH512" s="81">
        <v>2956</v>
      </c>
      <c r="AI512" s="81">
        <v>2954</v>
      </c>
      <c r="AJ512" s="80">
        <f>+AJ467</f>
        <v>2945</v>
      </c>
      <c r="AK512" s="80">
        <f t="shared" ref="AK512:AY512" si="893">+AK467</f>
        <v>2930</v>
      </c>
      <c r="AL512" s="80">
        <f t="shared" si="893"/>
        <v>2913</v>
      </c>
      <c r="AM512" s="80">
        <f t="shared" si="893"/>
        <v>2886</v>
      </c>
      <c r="AN512" s="80">
        <f t="shared" si="893"/>
        <v>2869</v>
      </c>
      <c r="AO512" s="80">
        <f t="shared" si="893"/>
        <v>2875</v>
      </c>
      <c r="AP512" s="80">
        <f t="shared" si="893"/>
        <v>2874</v>
      </c>
      <c r="AQ512" s="80">
        <f t="shared" si="893"/>
        <v>2871</v>
      </c>
      <c r="AR512" s="80">
        <f t="shared" si="893"/>
        <v>2868</v>
      </c>
      <c r="AS512" s="80">
        <f t="shared" si="893"/>
        <v>2879</v>
      </c>
      <c r="AT512" s="80">
        <f t="shared" si="893"/>
        <v>2891</v>
      </c>
      <c r="AU512" s="80">
        <f t="shared" si="893"/>
        <v>2890</v>
      </c>
      <c r="AV512" s="80">
        <f t="shared" si="893"/>
        <v>2882</v>
      </c>
      <c r="AW512" s="80">
        <f t="shared" si="893"/>
        <v>2877</v>
      </c>
      <c r="AX512" s="80">
        <f t="shared" si="893"/>
        <v>2859</v>
      </c>
      <c r="AY512" s="80">
        <f t="shared" si="893"/>
        <v>2799</v>
      </c>
      <c r="AZ512" s="80">
        <f t="shared" ref="AZ512:BI512" si="894">+AZ467</f>
        <v>2742</v>
      </c>
      <c r="BA512" s="80">
        <f t="shared" si="894"/>
        <v>2713</v>
      </c>
      <c r="BB512" s="80">
        <f t="shared" si="894"/>
        <v>2687</v>
      </c>
      <c r="BC512" s="80">
        <f t="shared" si="894"/>
        <v>2640</v>
      </c>
      <c r="BD512" s="80">
        <f t="shared" si="894"/>
        <v>2596</v>
      </c>
      <c r="BE512" s="80">
        <f t="shared" si="894"/>
        <v>2612</v>
      </c>
      <c r="BF512" s="80">
        <f t="shared" si="894"/>
        <v>2641</v>
      </c>
      <c r="BG512" s="80">
        <f t="shared" si="894"/>
        <v>2630</v>
      </c>
      <c r="BH512" s="80">
        <f t="shared" si="894"/>
        <v>2625</v>
      </c>
      <c r="BI512" s="80">
        <f t="shared" si="894"/>
        <v>2610</v>
      </c>
      <c r="BJ512" s="80">
        <f t="shared" ref="BJ512" si="895">+BJ467</f>
        <v>2600</v>
      </c>
      <c r="BK512" s="80"/>
      <c r="BL512" s="80"/>
      <c r="BM512" s="80"/>
      <c r="BN512" s="80"/>
      <c r="BO512" s="80"/>
      <c r="BU512" s="64">
        <f>+AVERAGE(H512:K512)</f>
        <v>2331.5</v>
      </c>
      <c r="BV512" s="64">
        <f>+AVERAGE(L512:O512)</f>
        <v>2460.5</v>
      </c>
      <c r="BW512" s="64">
        <f>+AVERAGE(P512:S512)</f>
        <v>2521.75</v>
      </c>
      <c r="BX512" s="64">
        <f>+AVERAGE(T512:W512)</f>
        <v>2671</v>
      </c>
      <c r="BY512" s="64">
        <f>+AVERAGE(X512:AA512)</f>
        <v>2856.75</v>
      </c>
      <c r="BZ512" s="64">
        <f>+AVERAGE(AB512:AE512)</f>
        <v>2923.75</v>
      </c>
      <c r="CA512" s="64">
        <f>+AVERAGE(AF512:AI512)</f>
        <v>2951.25</v>
      </c>
      <c r="CB512" s="64">
        <f>+AVERAGE(AJ512:AM512)</f>
        <v>2918.5</v>
      </c>
      <c r="CC512" s="80">
        <f>+CC467</f>
        <v>2876</v>
      </c>
      <c r="CD512" s="80">
        <f>+CD467</f>
        <v>2888</v>
      </c>
      <c r="CE512" s="80">
        <f>+CE467</f>
        <v>2859</v>
      </c>
      <c r="CF512" s="80">
        <f>+CF467</f>
        <v>2702</v>
      </c>
      <c r="CG512" s="80">
        <f>+CG467</f>
        <v>2629</v>
      </c>
      <c r="CH512" s="80"/>
      <c r="CI512" s="80"/>
    </row>
    <row r="514" spans="2:87" x14ac:dyDescent="0.2">
      <c r="B514" s="52" t="s">
        <v>145</v>
      </c>
      <c r="C514" s="53"/>
    </row>
    <row r="516" spans="2:87" x14ac:dyDescent="0.2">
      <c r="B516" t="s">
        <v>134</v>
      </c>
      <c r="H516" s="81">
        <v>233</v>
      </c>
      <c r="I516" s="81">
        <v>238</v>
      </c>
      <c r="J516" s="81">
        <v>227</v>
      </c>
      <c r="K516" s="81">
        <v>302</v>
      </c>
      <c r="L516" s="81">
        <v>205</v>
      </c>
      <c r="M516" s="81">
        <v>-157</v>
      </c>
      <c r="N516" s="81">
        <v>-59</v>
      </c>
      <c r="O516" s="81">
        <v>64</v>
      </c>
      <c r="P516" s="81">
        <v>219</v>
      </c>
      <c r="Q516" s="81">
        <v>333</v>
      </c>
      <c r="R516" s="81">
        <v>425</v>
      </c>
      <c r="S516" s="81">
        <v>523</v>
      </c>
      <c r="T516" s="81">
        <v>642</v>
      </c>
      <c r="U516" s="81">
        <v>791</v>
      </c>
      <c r="V516" s="81">
        <v>806</v>
      </c>
      <c r="W516" s="81">
        <v>701</v>
      </c>
      <c r="X516" s="81">
        <v>512</v>
      </c>
      <c r="Y516" s="81">
        <v>719</v>
      </c>
      <c r="Z516" s="81">
        <v>896</v>
      </c>
      <c r="AA516" s="81">
        <v>1561</v>
      </c>
      <c r="AB516" s="81">
        <v>1738</v>
      </c>
      <c r="AC516" s="81">
        <v>2283</v>
      </c>
      <c r="AD516" s="81">
        <v>2627</v>
      </c>
      <c r="AE516" s="81">
        <v>3569</v>
      </c>
      <c r="AF516" s="81">
        <v>3064</v>
      </c>
      <c r="AG516" s="81">
        <v>3895</v>
      </c>
      <c r="AH516" s="81">
        <v>4706</v>
      </c>
      <c r="AI516" s="81">
        <v>4269</v>
      </c>
      <c r="AJ516" s="81">
        <v>4988</v>
      </c>
      <c r="AK516" s="81">
        <v>5106</v>
      </c>
      <c r="AL516" s="81">
        <v>5137</v>
      </c>
      <c r="AM516" s="81">
        <v>6882</v>
      </c>
      <c r="AN516" s="81">
        <v>2429</v>
      </c>
      <c r="AO516" s="81">
        <v>2616</v>
      </c>
      <c r="AP516" s="81">
        <v>6091</v>
      </c>
      <c r="AQ516" s="81">
        <v>7349</v>
      </c>
      <c r="AR516" s="81">
        <v>4902</v>
      </c>
      <c r="AS516" s="81">
        <v>5178</v>
      </c>
      <c r="AT516" s="81">
        <v>7846</v>
      </c>
      <c r="AU516" s="81">
        <v>11219</v>
      </c>
      <c r="AV516" s="81">
        <v>9497</v>
      </c>
      <c r="AW516" s="81">
        <v>10394</v>
      </c>
      <c r="AX516" s="81">
        <v>9194</v>
      </c>
      <c r="AY516" s="81">
        <v>10285</v>
      </c>
      <c r="AZ516" s="81">
        <v>7465</v>
      </c>
      <c r="BA516" s="81">
        <v>6687</v>
      </c>
      <c r="BB516" s="81">
        <v>4395</v>
      </c>
      <c r="BC516" s="81">
        <v>4652</v>
      </c>
      <c r="BD516" s="81">
        <v>5709</v>
      </c>
      <c r="BE516" s="81">
        <v>7788</v>
      </c>
      <c r="BF516" s="81">
        <v>11583</v>
      </c>
      <c r="BG516" s="81">
        <v>14017</v>
      </c>
      <c r="BH516" s="81">
        <v>12369</v>
      </c>
      <c r="BI516" s="81">
        <v>13465</v>
      </c>
      <c r="BJ516" s="81">
        <v>15688</v>
      </c>
      <c r="BK516" s="81"/>
      <c r="BL516" s="81"/>
      <c r="BM516" s="81"/>
      <c r="BN516" s="81"/>
      <c r="BO516" s="81"/>
      <c r="BS516" s="81">
        <v>229</v>
      </c>
      <c r="BT516" s="81">
        <v>606</v>
      </c>
      <c r="BU516" s="81">
        <v>1000</v>
      </c>
      <c r="BV516" s="81">
        <v>53</v>
      </c>
      <c r="BW516" s="81">
        <v>1500</v>
      </c>
      <c r="BX516" s="81">
        <v>2940</v>
      </c>
      <c r="BY516" s="81">
        <v>3688</v>
      </c>
      <c r="BZ516" s="81">
        <v>10217</v>
      </c>
      <c r="CA516" s="81">
        <v>15934</v>
      </c>
      <c r="CB516" s="81">
        <v>22112</v>
      </c>
      <c r="CC516" s="64">
        <f>+SUM(AN516:AQ516)</f>
        <v>18485</v>
      </c>
      <c r="CD516" s="64">
        <f t="shared" ref="CD516:CD539" si="896">+SUM(AR516:AU516)</f>
        <v>29145</v>
      </c>
      <c r="CE516" s="64">
        <f t="shared" ref="CE516:CE539" si="897">+SUM(AV516:AY516)</f>
        <v>39370</v>
      </c>
      <c r="CF516" s="64">
        <f t="shared" ref="CF516:CF539" si="898">+SUM(AZ516:BC516)</f>
        <v>23199</v>
      </c>
      <c r="CG516" s="64">
        <f t="shared" ref="CG516:CG539" si="899">+SUM(BD516:BG516)</f>
        <v>39097</v>
      </c>
      <c r="CH516" s="64"/>
      <c r="CI516" s="64"/>
    </row>
    <row r="517" spans="2:87" x14ac:dyDescent="0.2">
      <c r="B517" t="s">
        <v>146</v>
      </c>
      <c r="H517" s="81">
        <v>51</v>
      </c>
      <c r="I517" s="81">
        <v>72</v>
      </c>
      <c r="J517" s="81">
        <v>97</v>
      </c>
      <c r="K517" s="81">
        <v>103</v>
      </c>
      <c r="L517" s="81">
        <v>110</v>
      </c>
      <c r="M517" s="81">
        <v>139</v>
      </c>
      <c r="N517" s="81">
        <v>176</v>
      </c>
      <c r="O517" s="81">
        <v>224</v>
      </c>
      <c r="P517" s="81">
        <v>233</v>
      </c>
      <c r="Q517" s="81">
        <v>230</v>
      </c>
      <c r="R517" s="81">
        <v>274</v>
      </c>
      <c r="S517" s="81">
        <v>274</v>
      </c>
      <c r="T517" s="81">
        <v>264</v>
      </c>
      <c r="U517" s="81">
        <v>257</v>
      </c>
      <c r="V517" s="81">
        <v>289</v>
      </c>
      <c r="W517" s="81">
        <v>433</v>
      </c>
      <c r="X517" s="81">
        <v>457</v>
      </c>
      <c r="Y517" s="81">
        <v>459</v>
      </c>
      <c r="Z517" s="81">
        <v>486</v>
      </c>
      <c r="AA517" s="81">
        <v>543</v>
      </c>
      <c r="AB517" s="81">
        <v>552</v>
      </c>
      <c r="AC517" s="81">
        <v>585</v>
      </c>
      <c r="AD517" s="81">
        <v>591</v>
      </c>
      <c r="AE517" s="81">
        <v>614</v>
      </c>
      <c r="AF517" s="81">
        <v>671</v>
      </c>
      <c r="AG517" s="81">
        <v>729</v>
      </c>
      <c r="AH517" s="81">
        <v>772</v>
      </c>
      <c r="AI517" s="81">
        <v>853</v>
      </c>
      <c r="AJ517" s="81">
        <v>949</v>
      </c>
      <c r="AK517" s="81">
        <v>1034</v>
      </c>
      <c r="AL517" s="81">
        <v>1107</v>
      </c>
      <c r="AM517" s="81">
        <v>1225</v>
      </c>
      <c r="AN517" s="81">
        <v>1355</v>
      </c>
      <c r="AO517" s="81">
        <v>1502</v>
      </c>
      <c r="AP517" s="81">
        <v>1416</v>
      </c>
      <c r="AQ517" s="81">
        <v>1468</v>
      </c>
      <c r="AR517" s="81">
        <v>1597</v>
      </c>
      <c r="AS517" s="81">
        <v>1704</v>
      </c>
      <c r="AT517" s="81">
        <v>1698</v>
      </c>
      <c r="AU517" s="81">
        <v>1863</v>
      </c>
      <c r="AV517" s="81">
        <v>1972</v>
      </c>
      <c r="AW517" s="81">
        <v>1985</v>
      </c>
      <c r="AX517" s="81">
        <v>1995</v>
      </c>
      <c r="AY517" s="81">
        <v>2014</v>
      </c>
      <c r="AZ517" s="81">
        <v>2156</v>
      </c>
      <c r="BA517" s="81">
        <v>1979</v>
      </c>
      <c r="BB517" s="81">
        <v>2175</v>
      </c>
      <c r="BC517" s="81">
        <v>2376</v>
      </c>
      <c r="BD517" s="81">
        <v>2524</v>
      </c>
      <c r="BE517" s="81">
        <v>2623</v>
      </c>
      <c r="BF517" s="81">
        <v>2858</v>
      </c>
      <c r="BG517" s="81">
        <v>3172</v>
      </c>
      <c r="BH517" s="81">
        <v>3374</v>
      </c>
      <c r="BI517" s="81">
        <v>3637</v>
      </c>
      <c r="BJ517" s="81">
        <v>4027</v>
      </c>
      <c r="BK517" s="81"/>
      <c r="BL517" s="81"/>
      <c r="BM517" s="81"/>
      <c r="BN517" s="81"/>
      <c r="BO517" s="81"/>
      <c r="BS517" s="81">
        <v>78</v>
      </c>
      <c r="BT517" s="81">
        <v>139</v>
      </c>
      <c r="BU517" s="81">
        <v>323</v>
      </c>
      <c r="BV517" s="81">
        <v>649</v>
      </c>
      <c r="BW517" s="81">
        <v>1011</v>
      </c>
      <c r="BX517" s="81">
        <v>1243</v>
      </c>
      <c r="BY517" s="81">
        <v>1945</v>
      </c>
      <c r="BZ517" s="81">
        <v>2342</v>
      </c>
      <c r="CA517" s="81">
        <v>3025</v>
      </c>
      <c r="CB517" s="81">
        <v>4315</v>
      </c>
      <c r="CC517" s="64">
        <f t="shared" ref="CC517:CC569" si="900">+SUM(AN517:AQ517)</f>
        <v>5741</v>
      </c>
      <c r="CD517" s="64">
        <f t="shared" si="896"/>
        <v>6862</v>
      </c>
      <c r="CE517" s="64">
        <f t="shared" si="897"/>
        <v>7966</v>
      </c>
      <c r="CF517" s="64">
        <f t="shared" si="898"/>
        <v>8686</v>
      </c>
      <c r="CG517" s="64">
        <f t="shared" si="899"/>
        <v>11177</v>
      </c>
      <c r="CH517" s="64"/>
      <c r="CI517" s="64"/>
    </row>
    <row r="518" spans="2:87" x14ac:dyDescent="0.2">
      <c r="B518" t="s">
        <v>147</v>
      </c>
      <c r="H518" s="81">
        <v>7</v>
      </c>
      <c r="I518" s="81">
        <v>64</v>
      </c>
      <c r="J518" s="81">
        <v>70</v>
      </c>
      <c r="K518" s="81">
        <v>76</v>
      </c>
      <c r="L518" s="81">
        <v>103</v>
      </c>
      <c r="M518" s="81">
        <v>1106</v>
      </c>
      <c r="N518" s="81">
        <v>179</v>
      </c>
      <c r="O518" s="81">
        <v>184</v>
      </c>
      <c r="P518" s="81">
        <v>170</v>
      </c>
      <c r="Q518" s="81">
        <v>224</v>
      </c>
      <c r="R518" s="81">
        <v>239</v>
      </c>
      <c r="S518" s="81">
        <v>273</v>
      </c>
      <c r="T518" s="81">
        <v>274</v>
      </c>
      <c r="U518" s="81">
        <v>314</v>
      </c>
      <c r="V518" s="81">
        <v>353</v>
      </c>
      <c r="W518" s="81">
        <v>845</v>
      </c>
      <c r="X518" s="81">
        <v>694</v>
      </c>
      <c r="Y518" s="81">
        <v>763</v>
      </c>
      <c r="Z518" s="81">
        <v>757</v>
      </c>
      <c r="AA518" s="81">
        <v>746</v>
      </c>
      <c r="AB518" s="81">
        <v>746</v>
      </c>
      <c r="AC518" s="81">
        <v>817</v>
      </c>
      <c r="AD518" s="81">
        <v>824</v>
      </c>
      <c r="AE518" s="81">
        <v>831</v>
      </c>
      <c r="AF518" s="81">
        <v>867</v>
      </c>
      <c r="AG518" s="81">
        <v>1032</v>
      </c>
      <c r="AH518" s="81">
        <v>1010</v>
      </c>
      <c r="AI518" s="81">
        <v>814</v>
      </c>
      <c r="AJ518" s="81">
        <v>955</v>
      </c>
      <c r="AK518" s="81">
        <v>1186</v>
      </c>
      <c r="AL518" s="81">
        <v>1039</v>
      </c>
      <c r="AM518" s="81">
        <v>972</v>
      </c>
      <c r="AN518" s="81">
        <v>1010</v>
      </c>
      <c r="AO518" s="81">
        <v>1303</v>
      </c>
      <c r="AP518" s="81">
        <v>1249</v>
      </c>
      <c r="AQ518" s="81">
        <v>1273</v>
      </c>
      <c r="AR518" s="81">
        <v>1335</v>
      </c>
      <c r="AS518" s="81">
        <v>1695</v>
      </c>
      <c r="AT518" s="81">
        <v>1722</v>
      </c>
      <c r="AU518" s="81">
        <v>1784</v>
      </c>
      <c r="AV518" s="81">
        <v>1830</v>
      </c>
      <c r="AW518" s="81">
        <v>2548</v>
      </c>
      <c r="AX518" s="81">
        <v>2379</v>
      </c>
      <c r="AY518" s="81">
        <v>2406</v>
      </c>
      <c r="AZ518" s="81">
        <v>2498</v>
      </c>
      <c r="BA518" s="81">
        <v>3351</v>
      </c>
      <c r="BB518" s="81">
        <v>3134</v>
      </c>
      <c r="BC518" s="81">
        <v>3008</v>
      </c>
      <c r="BD518" s="81">
        <v>3051</v>
      </c>
      <c r="BE518" s="81">
        <v>4060</v>
      </c>
      <c r="BF518" s="81">
        <v>3492</v>
      </c>
      <c r="BG518" s="81">
        <v>3424</v>
      </c>
      <c r="BH518" s="81">
        <v>3562</v>
      </c>
      <c r="BI518" s="81">
        <v>4616</v>
      </c>
      <c r="BJ518" s="81">
        <v>4250</v>
      </c>
      <c r="BK518" s="81"/>
      <c r="BL518" s="81"/>
      <c r="BM518" s="81"/>
      <c r="BN518" s="81"/>
      <c r="BO518" s="81"/>
      <c r="BS518" s="81">
        <v>27</v>
      </c>
      <c r="BT518" s="81">
        <v>20</v>
      </c>
      <c r="BU518" s="81">
        <v>217</v>
      </c>
      <c r="BV518" s="81">
        <v>1572</v>
      </c>
      <c r="BW518" s="81">
        <v>906</v>
      </c>
      <c r="BX518" s="81">
        <v>1786</v>
      </c>
      <c r="BY518" s="81">
        <v>2960</v>
      </c>
      <c r="BZ518" s="81">
        <v>3218</v>
      </c>
      <c r="CA518" s="81">
        <v>3723</v>
      </c>
      <c r="CB518" s="81">
        <v>4152</v>
      </c>
      <c r="CC518" s="64">
        <f t="shared" si="900"/>
        <v>4835</v>
      </c>
      <c r="CD518" s="64">
        <f t="shared" si="896"/>
        <v>6536</v>
      </c>
      <c r="CE518" s="64">
        <f t="shared" si="897"/>
        <v>9163</v>
      </c>
      <c r="CF518" s="64">
        <f t="shared" si="898"/>
        <v>11991</v>
      </c>
      <c r="CG518" s="64">
        <f t="shared" si="899"/>
        <v>14027</v>
      </c>
      <c r="CH518" s="64"/>
      <c r="CI518" s="64"/>
    </row>
    <row r="519" spans="2:87" x14ac:dyDescent="0.2">
      <c r="B519" t="s">
        <v>148</v>
      </c>
      <c r="H519" s="81">
        <v>0</v>
      </c>
      <c r="I519" s="81">
        <v>-14</v>
      </c>
      <c r="J519" s="81">
        <v>-15</v>
      </c>
      <c r="K519" s="81">
        <v>-1</v>
      </c>
      <c r="L519" s="81">
        <v>-24</v>
      </c>
      <c r="M519" s="81">
        <v>-350</v>
      </c>
      <c r="N519" s="81">
        <v>-60</v>
      </c>
      <c r="O519" s="81">
        <v>248</v>
      </c>
      <c r="P519" s="81">
        <v>-7</v>
      </c>
      <c r="Q519" s="81">
        <v>26</v>
      </c>
      <c r="R519" s="81">
        <v>2</v>
      </c>
      <c r="S519" s="81">
        <v>-58</v>
      </c>
      <c r="T519" s="81">
        <v>-1</v>
      </c>
      <c r="U519" s="81">
        <v>-33</v>
      </c>
      <c r="V519" s="81">
        <v>4</v>
      </c>
      <c r="W519" s="81">
        <v>-180</v>
      </c>
      <c r="X519" s="81">
        <v>-223</v>
      </c>
      <c r="Y519" s="81">
        <v>-66</v>
      </c>
      <c r="Z519" s="81">
        <v>-383</v>
      </c>
      <c r="AA519" s="81">
        <v>-123</v>
      </c>
      <c r="AB519" s="81">
        <v>-77</v>
      </c>
      <c r="AC519" s="81">
        <v>-101</v>
      </c>
      <c r="AD519" s="81">
        <v>-23</v>
      </c>
      <c r="AE519" s="81">
        <v>-256</v>
      </c>
      <c r="AF519" s="81">
        <v>-84</v>
      </c>
      <c r="AG519" s="81">
        <v>26</v>
      </c>
      <c r="AH519" s="81">
        <v>-94</v>
      </c>
      <c r="AI519" s="81">
        <v>-225</v>
      </c>
      <c r="AJ519" s="81">
        <v>-47</v>
      </c>
      <c r="AK519" s="81">
        <v>101</v>
      </c>
      <c r="AL519" s="81">
        <v>29</v>
      </c>
      <c r="AM519" s="81">
        <v>203</v>
      </c>
      <c r="AN519" s="81">
        <v>183</v>
      </c>
      <c r="AO519" s="81">
        <v>1</v>
      </c>
      <c r="AP519" s="81">
        <v>175</v>
      </c>
      <c r="AQ519" s="81">
        <v>-395</v>
      </c>
      <c r="AR519" s="81">
        <v>477</v>
      </c>
      <c r="AS519" s="81">
        <v>214</v>
      </c>
      <c r="AT519" s="81">
        <v>-1506</v>
      </c>
      <c r="AU519" s="81">
        <v>-377</v>
      </c>
      <c r="AV519" s="81">
        <v>418</v>
      </c>
      <c r="AW519" s="81">
        <v>229</v>
      </c>
      <c r="AX519" s="81">
        <v>-786</v>
      </c>
      <c r="AY519" s="81">
        <v>748</v>
      </c>
      <c r="AZ519" s="81">
        <v>-563</v>
      </c>
      <c r="BA519" s="81">
        <v>-453</v>
      </c>
      <c r="BB519" s="81">
        <v>-1097</v>
      </c>
      <c r="BC519" s="81">
        <v>-1173</v>
      </c>
      <c r="BD519" s="81">
        <v>-620</v>
      </c>
      <c r="BE519" s="81">
        <v>-1137</v>
      </c>
      <c r="BF519" s="81">
        <v>3049</v>
      </c>
      <c r="BG519" s="81">
        <v>-1161</v>
      </c>
      <c r="BH519" s="81">
        <v>-456</v>
      </c>
      <c r="BI519" s="81">
        <v>-1643</v>
      </c>
      <c r="BJ519" s="81">
        <v>-1308</v>
      </c>
      <c r="BK519" s="81"/>
      <c r="BL519" s="81"/>
      <c r="BM519" s="81"/>
      <c r="BN519" s="81"/>
      <c r="BO519" s="81"/>
      <c r="BS519" s="81">
        <v>0</v>
      </c>
      <c r="BT519" s="81">
        <v>23</v>
      </c>
      <c r="BU519" s="81">
        <v>-30</v>
      </c>
      <c r="BV519" s="81">
        <v>-186</v>
      </c>
      <c r="BW519" s="81">
        <v>-37</v>
      </c>
      <c r="BX519" s="81">
        <v>-210</v>
      </c>
      <c r="BY519" s="81">
        <v>-795</v>
      </c>
      <c r="BZ519" s="81">
        <v>-457</v>
      </c>
      <c r="CA519" s="81">
        <v>-377</v>
      </c>
      <c r="CB519" s="81">
        <v>286</v>
      </c>
      <c r="CC519" s="64">
        <f t="shared" si="900"/>
        <v>-36</v>
      </c>
      <c r="CD519" s="64">
        <f t="shared" si="896"/>
        <v>-1192</v>
      </c>
      <c r="CE519" s="64">
        <f t="shared" si="897"/>
        <v>609</v>
      </c>
      <c r="CF519" s="64">
        <f t="shared" si="898"/>
        <v>-3286</v>
      </c>
      <c r="CG519" s="64">
        <f t="shared" si="899"/>
        <v>131</v>
      </c>
      <c r="CH519" s="64"/>
      <c r="CI519" s="64"/>
    </row>
    <row r="520" spans="2:87" x14ac:dyDescent="0.2">
      <c r="B520" t="s">
        <v>149</v>
      </c>
      <c r="H520" s="81">
        <v>0</v>
      </c>
      <c r="I520" s="81">
        <v>0</v>
      </c>
      <c r="J520" s="81">
        <v>0</v>
      </c>
      <c r="K520" s="81">
        <v>0</v>
      </c>
      <c r="L520" s="81">
        <v>0</v>
      </c>
      <c r="M520" s="81">
        <v>-567</v>
      </c>
      <c r="N520" s="81">
        <v>0</v>
      </c>
      <c r="O520" s="81">
        <v>567</v>
      </c>
      <c r="P520" s="81">
        <v>0</v>
      </c>
      <c r="Q520" s="81">
        <v>0</v>
      </c>
      <c r="R520" s="81">
        <v>0</v>
      </c>
      <c r="S520" s="81">
        <v>0</v>
      </c>
      <c r="T520" s="81">
        <v>0</v>
      </c>
      <c r="U520" s="81">
        <v>0</v>
      </c>
      <c r="V520" s="81">
        <v>0</v>
      </c>
      <c r="W520" s="81">
        <v>0</v>
      </c>
      <c r="X520" s="81">
        <v>0</v>
      </c>
      <c r="Y520" s="81">
        <v>0</v>
      </c>
      <c r="Z520" s="81">
        <v>0</v>
      </c>
      <c r="AA520" s="81">
        <v>0</v>
      </c>
      <c r="AB520" s="81">
        <v>0</v>
      </c>
      <c r="AC520" s="81">
        <v>0</v>
      </c>
      <c r="AD520" s="81">
        <v>0</v>
      </c>
      <c r="AE520" s="81">
        <v>0</v>
      </c>
      <c r="AF520" s="81">
        <v>0</v>
      </c>
      <c r="AG520" s="81">
        <v>0</v>
      </c>
      <c r="AH520" s="81">
        <v>0</v>
      </c>
      <c r="AI520" s="81">
        <v>0</v>
      </c>
      <c r="AJ520" s="81">
        <v>0</v>
      </c>
      <c r="AK520" s="81">
        <v>0</v>
      </c>
      <c r="AL520" s="81">
        <v>0</v>
      </c>
      <c r="AM520" s="81">
        <v>0</v>
      </c>
      <c r="AN520" s="81">
        <v>0</v>
      </c>
      <c r="AO520" s="81">
        <v>0</v>
      </c>
      <c r="AP520" s="81">
        <v>0</v>
      </c>
      <c r="AQ520" s="81">
        <v>0</v>
      </c>
      <c r="AR520" s="81">
        <v>0</v>
      </c>
      <c r="AS520" s="81">
        <v>0</v>
      </c>
      <c r="AT520" s="81">
        <v>0</v>
      </c>
      <c r="AU520" s="81">
        <v>0</v>
      </c>
      <c r="AV520" s="81">
        <v>0</v>
      </c>
      <c r="AW520" s="81">
        <v>0</v>
      </c>
      <c r="AX520" s="81">
        <v>0</v>
      </c>
      <c r="AY520" s="81">
        <v>0</v>
      </c>
      <c r="AZ520" s="81">
        <v>0</v>
      </c>
      <c r="BA520" s="81">
        <v>0</v>
      </c>
      <c r="BB520" s="81">
        <v>0</v>
      </c>
      <c r="BC520" s="81">
        <v>0</v>
      </c>
      <c r="BD520" s="81">
        <v>0</v>
      </c>
      <c r="BE520" s="81">
        <v>0</v>
      </c>
      <c r="BF520" s="81">
        <v>0</v>
      </c>
      <c r="BG520" s="81">
        <v>0</v>
      </c>
      <c r="BH520" s="81">
        <v>0</v>
      </c>
      <c r="BI520" s="81">
        <v>0</v>
      </c>
      <c r="BJ520" s="81">
        <v>0</v>
      </c>
      <c r="BK520" s="81"/>
      <c r="BL520" s="81"/>
      <c r="BM520" s="81"/>
      <c r="BN520" s="81"/>
      <c r="BO520" s="81"/>
      <c r="BS520" s="81">
        <v>0</v>
      </c>
      <c r="BT520" s="81">
        <v>0</v>
      </c>
      <c r="BU520" s="81">
        <v>0</v>
      </c>
      <c r="BV520" s="81">
        <v>0</v>
      </c>
      <c r="BW520" s="81">
        <v>0</v>
      </c>
      <c r="BX520" s="81">
        <v>0</v>
      </c>
      <c r="BY520" s="81">
        <v>0</v>
      </c>
      <c r="BZ520" s="81">
        <v>0</v>
      </c>
      <c r="CA520" s="81">
        <v>0</v>
      </c>
      <c r="CB520" s="81">
        <v>0</v>
      </c>
      <c r="CC520" s="64">
        <f t="shared" si="900"/>
        <v>0</v>
      </c>
      <c r="CD520" s="64">
        <f t="shared" si="896"/>
        <v>0</v>
      </c>
      <c r="CE520" s="64">
        <f t="shared" si="897"/>
        <v>0</v>
      </c>
      <c r="CF520" s="64">
        <f t="shared" si="898"/>
        <v>0</v>
      </c>
      <c r="CG520" s="64">
        <f t="shared" si="899"/>
        <v>0</v>
      </c>
      <c r="CH520" s="64"/>
      <c r="CI520" s="64"/>
    </row>
    <row r="521" spans="2:87" x14ac:dyDescent="0.2">
      <c r="B521" t="s">
        <v>150</v>
      </c>
      <c r="H521" s="81">
        <v>69</v>
      </c>
      <c r="I521" s="81">
        <v>286</v>
      </c>
      <c r="J521" s="81">
        <v>50</v>
      </c>
      <c r="K521" s="81">
        <v>28</v>
      </c>
      <c r="L521" s="81">
        <v>54</v>
      </c>
      <c r="M521" s="81">
        <v>327</v>
      </c>
      <c r="N521" s="81">
        <v>473</v>
      </c>
      <c r="O521" s="81">
        <v>179</v>
      </c>
      <c r="P521" s="81">
        <v>59</v>
      </c>
      <c r="Q521" s="81">
        <v>89</v>
      </c>
      <c r="R521" s="81">
        <v>129</v>
      </c>
      <c r="S521" s="81">
        <v>325</v>
      </c>
      <c r="T521" s="81">
        <v>345</v>
      </c>
      <c r="U521" s="81">
        <v>530</v>
      </c>
      <c r="V521" s="81">
        <v>479</v>
      </c>
      <c r="W521" s="81">
        <v>499</v>
      </c>
      <c r="X521" s="81">
        <v>423</v>
      </c>
      <c r="Y521" s="81">
        <v>386</v>
      </c>
      <c r="Z521" s="81">
        <v>346</v>
      </c>
      <c r="AA521" s="81">
        <v>566</v>
      </c>
      <c r="AB521" s="81">
        <v>0</v>
      </c>
      <c r="AC521" s="81">
        <v>0</v>
      </c>
      <c r="AD521" s="81">
        <v>0</v>
      </c>
      <c r="AE521" s="81">
        <v>0</v>
      </c>
      <c r="AF521" s="81">
        <v>0</v>
      </c>
      <c r="AG521" s="81">
        <v>0</v>
      </c>
      <c r="AH521" s="81">
        <v>0</v>
      </c>
      <c r="AI521" s="81">
        <v>0</v>
      </c>
      <c r="AJ521" s="81">
        <v>0</v>
      </c>
      <c r="AK521" s="81">
        <v>0</v>
      </c>
      <c r="AL521" s="81">
        <v>0</v>
      </c>
      <c r="AM521" s="81">
        <v>0</v>
      </c>
      <c r="AN521" s="81">
        <v>0</v>
      </c>
      <c r="AO521" s="81">
        <v>0</v>
      </c>
      <c r="AP521" s="81">
        <v>0</v>
      </c>
      <c r="AQ521" s="81">
        <v>0</v>
      </c>
      <c r="AR521" s="81">
        <v>0</v>
      </c>
      <c r="AS521" s="81">
        <v>0</v>
      </c>
      <c r="AT521" s="81">
        <v>0</v>
      </c>
      <c r="AU521" s="81">
        <v>0</v>
      </c>
      <c r="AV521" s="81">
        <v>0</v>
      </c>
      <c r="AW521" s="81">
        <v>0</v>
      </c>
      <c r="AX521" s="81">
        <v>0</v>
      </c>
      <c r="AY521" s="81">
        <v>0</v>
      </c>
      <c r="AZ521" s="81">
        <v>0</v>
      </c>
      <c r="BA521" s="81">
        <v>0</v>
      </c>
      <c r="BB521" s="81">
        <v>0</v>
      </c>
      <c r="BC521" s="81">
        <v>0</v>
      </c>
      <c r="BD521" s="81">
        <v>0</v>
      </c>
      <c r="BE521" s="81">
        <v>0</v>
      </c>
      <c r="BF521" s="81">
        <v>0</v>
      </c>
      <c r="BG521" s="81">
        <v>0</v>
      </c>
      <c r="BH521" s="81">
        <v>0</v>
      </c>
      <c r="BI521" s="81">
        <v>0</v>
      </c>
      <c r="BJ521" s="81">
        <v>0</v>
      </c>
      <c r="BK521" s="81"/>
      <c r="BL521" s="81"/>
      <c r="BM521" s="81"/>
      <c r="BN521" s="81"/>
      <c r="BO521" s="81"/>
      <c r="BS521" s="81">
        <v>50</v>
      </c>
      <c r="BT521" s="81">
        <v>115</v>
      </c>
      <c r="BU521" s="81">
        <v>433</v>
      </c>
      <c r="BV521" s="81">
        <v>1033</v>
      </c>
      <c r="BW521" s="81">
        <v>602</v>
      </c>
      <c r="BX521" s="81">
        <v>1853</v>
      </c>
      <c r="BY521" s="81">
        <v>1721</v>
      </c>
      <c r="BZ521" s="81">
        <v>0</v>
      </c>
      <c r="CA521" s="81">
        <v>0</v>
      </c>
      <c r="CB521" s="81">
        <v>0</v>
      </c>
      <c r="CC521" s="64">
        <f t="shared" si="900"/>
        <v>0</v>
      </c>
      <c r="CD521" s="64">
        <f t="shared" si="896"/>
        <v>0</v>
      </c>
      <c r="CE521" s="64">
        <f t="shared" si="897"/>
        <v>0</v>
      </c>
      <c r="CF521" s="64">
        <f t="shared" si="898"/>
        <v>0</v>
      </c>
      <c r="CG521" s="64">
        <f t="shared" si="899"/>
        <v>0</v>
      </c>
      <c r="CH521" s="64"/>
      <c r="CI521" s="64"/>
    </row>
    <row r="522" spans="2:87" x14ac:dyDescent="0.2">
      <c r="B522" t="s">
        <v>151</v>
      </c>
      <c r="H522" s="81">
        <v>-69</v>
      </c>
      <c r="I522" s="81">
        <v>-286</v>
      </c>
      <c r="J522" s="81">
        <v>-50</v>
      </c>
      <c r="K522" s="81">
        <v>-28</v>
      </c>
      <c r="L522" s="81">
        <v>-54</v>
      </c>
      <c r="M522" s="81">
        <v>-327</v>
      </c>
      <c r="N522" s="81">
        <v>-473</v>
      </c>
      <c r="O522" s="81">
        <v>-179</v>
      </c>
      <c r="P522" s="81">
        <v>-62</v>
      </c>
      <c r="Q522" s="81">
        <v>-93</v>
      </c>
      <c r="R522" s="81">
        <v>-130</v>
      </c>
      <c r="S522" s="81">
        <v>-324</v>
      </c>
      <c r="T522" s="81">
        <v>-348</v>
      </c>
      <c r="U522" s="81">
        <v>-535</v>
      </c>
      <c r="V522" s="81">
        <v>-482</v>
      </c>
      <c r="W522" s="81">
        <v>1365</v>
      </c>
      <c r="X522" s="81">
        <v>-423</v>
      </c>
      <c r="Y522" s="81">
        <v>-386</v>
      </c>
      <c r="Z522" s="81">
        <v>-346</v>
      </c>
      <c r="AA522" s="81">
        <v>1155</v>
      </c>
      <c r="AB522" s="81">
        <v>0</v>
      </c>
      <c r="AC522" s="81">
        <v>0</v>
      </c>
      <c r="AD522" s="81">
        <v>0</v>
      </c>
      <c r="AE522" s="81">
        <v>0</v>
      </c>
      <c r="AF522" s="81">
        <v>0</v>
      </c>
      <c r="AG522" s="81">
        <v>0</v>
      </c>
      <c r="AH522" s="81">
        <v>0</v>
      </c>
      <c r="AI522" s="81">
        <v>0</v>
      </c>
      <c r="AJ522" s="81">
        <v>0</v>
      </c>
      <c r="AK522" s="81">
        <v>0</v>
      </c>
      <c r="AL522" s="81">
        <v>0</v>
      </c>
      <c r="AM522" s="81">
        <v>0</v>
      </c>
      <c r="AN522" s="81">
        <v>0</v>
      </c>
      <c r="AO522" s="81">
        <v>0</v>
      </c>
      <c r="AP522" s="81">
        <v>0</v>
      </c>
      <c r="AQ522" s="81">
        <v>0</v>
      </c>
      <c r="AR522" s="81">
        <v>0</v>
      </c>
      <c r="AS522" s="81">
        <v>0</v>
      </c>
      <c r="AT522" s="81">
        <v>0</v>
      </c>
      <c r="AU522" s="81">
        <v>0</v>
      </c>
      <c r="AV522" s="81">
        <v>0</v>
      </c>
      <c r="AW522" s="81">
        <v>0</v>
      </c>
      <c r="AX522" s="81">
        <v>0</v>
      </c>
      <c r="AY522" s="81">
        <v>0</v>
      </c>
      <c r="AZ522" s="81">
        <v>0</v>
      </c>
      <c r="BA522" s="81">
        <v>0</v>
      </c>
      <c r="BB522" s="81">
        <v>0</v>
      </c>
      <c r="BC522" s="81">
        <v>0</v>
      </c>
      <c r="BD522" s="81">
        <v>0</v>
      </c>
      <c r="BE522" s="81">
        <v>0</v>
      </c>
      <c r="BF522" s="81">
        <v>0</v>
      </c>
      <c r="BG522" s="81">
        <v>0</v>
      </c>
      <c r="BH522" s="81">
        <v>0</v>
      </c>
      <c r="BI522" s="81">
        <v>0</v>
      </c>
      <c r="BJ522" s="81">
        <v>0</v>
      </c>
      <c r="BK522" s="81"/>
      <c r="BL522" s="81"/>
      <c r="BM522" s="81"/>
      <c r="BN522" s="81"/>
      <c r="BO522" s="81"/>
      <c r="BS522" s="81">
        <v>-51</v>
      </c>
      <c r="BT522" s="81">
        <v>-115</v>
      </c>
      <c r="BU522" s="81">
        <v>-433</v>
      </c>
      <c r="BV522" s="81">
        <v>-1033</v>
      </c>
      <c r="BW522" s="81">
        <v>-609</v>
      </c>
      <c r="BX522" s="81">
        <v>0</v>
      </c>
      <c r="BY522" s="81">
        <v>0</v>
      </c>
      <c r="BZ522" s="81">
        <v>0</v>
      </c>
      <c r="CA522" s="81">
        <v>0</v>
      </c>
      <c r="CB522" s="81">
        <v>0</v>
      </c>
      <c r="CC522" s="64">
        <f t="shared" si="900"/>
        <v>0</v>
      </c>
      <c r="CD522" s="64">
        <f t="shared" si="896"/>
        <v>0</v>
      </c>
      <c r="CE522" s="64">
        <f t="shared" si="897"/>
        <v>0</v>
      </c>
      <c r="CF522" s="64">
        <f t="shared" si="898"/>
        <v>0</v>
      </c>
      <c r="CG522" s="64">
        <f t="shared" si="899"/>
        <v>0</v>
      </c>
      <c r="CH522" s="64"/>
      <c r="CI522" s="64"/>
    </row>
    <row r="523" spans="2:87" x14ac:dyDescent="0.2">
      <c r="B523" t="s">
        <v>152</v>
      </c>
      <c r="H523" s="81">
        <v>1</v>
      </c>
      <c r="I523" s="81">
        <v>5</v>
      </c>
      <c r="J523" s="81">
        <v>0</v>
      </c>
      <c r="K523" s="81">
        <v>-2</v>
      </c>
      <c r="L523" s="81">
        <v>1</v>
      </c>
      <c r="M523" s="81">
        <v>3</v>
      </c>
      <c r="N523" s="81">
        <v>4</v>
      </c>
      <c r="O523" s="81">
        <v>-8</v>
      </c>
      <c r="P523" s="81">
        <v>0</v>
      </c>
      <c r="Q523" s="81">
        <v>0</v>
      </c>
      <c r="R523" s="81">
        <v>0</v>
      </c>
      <c r="S523" s="81">
        <v>0</v>
      </c>
      <c r="T523" s="81">
        <v>0</v>
      </c>
      <c r="U523" s="81">
        <v>0</v>
      </c>
      <c r="V523" s="81">
        <v>0</v>
      </c>
      <c r="W523" s="81">
        <v>0</v>
      </c>
      <c r="X523" s="81">
        <v>0</v>
      </c>
      <c r="Y523" s="81">
        <v>0</v>
      </c>
      <c r="Z523" s="81">
        <v>0</v>
      </c>
      <c r="AA523" s="81">
        <v>0</v>
      </c>
      <c r="AB523" s="81">
        <v>0</v>
      </c>
      <c r="AC523" s="81">
        <v>0</v>
      </c>
      <c r="AD523" s="81">
        <v>0</v>
      </c>
      <c r="AE523" s="81">
        <v>0</v>
      </c>
      <c r="AF523" s="81">
        <v>0</v>
      </c>
      <c r="AG523" s="81">
        <v>0</v>
      </c>
      <c r="AH523" s="81">
        <v>0</v>
      </c>
      <c r="AI523" s="81">
        <v>0</v>
      </c>
      <c r="AJ523" s="81">
        <v>0</v>
      </c>
      <c r="AK523" s="81">
        <v>0</v>
      </c>
      <c r="AL523" s="81">
        <v>0</v>
      </c>
      <c r="AM523" s="81">
        <v>0</v>
      </c>
      <c r="AN523" s="81">
        <v>0</v>
      </c>
      <c r="AO523" s="81">
        <v>0</v>
      </c>
      <c r="AP523" s="81">
        <v>0</v>
      </c>
      <c r="AQ523" s="81">
        <v>0</v>
      </c>
      <c r="AR523" s="81">
        <v>0</v>
      </c>
      <c r="AS523" s="81">
        <v>0</v>
      </c>
      <c r="AT523" s="81">
        <v>0</v>
      </c>
      <c r="AU523" s="81">
        <v>0</v>
      </c>
      <c r="AV523" s="81">
        <v>0</v>
      </c>
      <c r="AW523" s="81">
        <v>0</v>
      </c>
      <c r="AX523" s="81">
        <v>0</v>
      </c>
      <c r="AY523" s="81">
        <v>0</v>
      </c>
      <c r="AZ523" s="81">
        <v>0</v>
      </c>
      <c r="BA523" s="81">
        <v>0</v>
      </c>
      <c r="BB523" s="81">
        <v>0</v>
      </c>
      <c r="BC523" s="81">
        <v>0</v>
      </c>
      <c r="BD523" s="81">
        <v>0</v>
      </c>
      <c r="BE523" s="81">
        <v>0</v>
      </c>
      <c r="BF523" s="81">
        <v>0</v>
      </c>
      <c r="BG523" s="81">
        <v>0</v>
      </c>
      <c r="BH523" s="81">
        <v>0</v>
      </c>
      <c r="BI523" s="81">
        <v>0</v>
      </c>
      <c r="BJ523" s="81">
        <v>0</v>
      </c>
      <c r="BK523" s="81"/>
      <c r="BL523" s="81"/>
      <c r="BM523" s="81"/>
      <c r="BN523" s="81"/>
      <c r="BO523" s="81"/>
      <c r="BS523" s="81">
        <v>1</v>
      </c>
      <c r="BT523" s="81">
        <v>3</v>
      </c>
      <c r="BU523" s="81">
        <v>4</v>
      </c>
      <c r="BV523" s="81">
        <v>0</v>
      </c>
      <c r="BW523" s="81">
        <v>0</v>
      </c>
      <c r="BX523" s="81">
        <v>0</v>
      </c>
      <c r="BY523" s="81">
        <v>0</v>
      </c>
      <c r="BZ523" s="81">
        <v>0</v>
      </c>
      <c r="CA523" s="81">
        <v>0</v>
      </c>
      <c r="CB523" s="81">
        <v>0</v>
      </c>
      <c r="CC523" s="64">
        <f t="shared" si="900"/>
        <v>0</v>
      </c>
      <c r="CD523" s="64">
        <f t="shared" si="896"/>
        <v>0</v>
      </c>
      <c r="CE523" s="64">
        <f t="shared" si="897"/>
        <v>0</v>
      </c>
      <c r="CF523" s="64">
        <f t="shared" si="898"/>
        <v>0</v>
      </c>
      <c r="CG523" s="64">
        <f t="shared" si="899"/>
        <v>0</v>
      </c>
      <c r="CH523" s="64"/>
      <c r="CI523" s="64"/>
    </row>
    <row r="524" spans="2:87" x14ac:dyDescent="0.2">
      <c r="B524" t="s">
        <v>153</v>
      </c>
      <c r="H524" s="81">
        <v>0</v>
      </c>
      <c r="I524" s="81">
        <v>0</v>
      </c>
      <c r="J524" s="81">
        <v>0</v>
      </c>
      <c r="K524" s="81">
        <v>0</v>
      </c>
      <c r="L524" s="81">
        <v>0</v>
      </c>
      <c r="M524" s="81">
        <v>3</v>
      </c>
      <c r="N524" s="81">
        <v>4</v>
      </c>
      <c r="O524" s="81">
        <v>1</v>
      </c>
      <c r="P524" s="81">
        <v>8</v>
      </c>
      <c r="Q524" s="81">
        <v>57</v>
      </c>
      <c r="R524" s="81">
        <v>43</v>
      </c>
      <c r="S524" s="81">
        <v>9</v>
      </c>
      <c r="T524" s="81">
        <v>0</v>
      </c>
      <c r="U524" s="81">
        <v>0</v>
      </c>
      <c r="V524" s="81">
        <v>0</v>
      </c>
      <c r="W524" s="81">
        <v>0</v>
      </c>
      <c r="X524" s="81">
        <v>0</v>
      </c>
      <c r="Y524" s="81">
        <v>0</v>
      </c>
      <c r="Z524" s="81">
        <v>0</v>
      </c>
      <c r="AA524" s="81">
        <v>0</v>
      </c>
      <c r="AB524" s="81">
        <v>0</v>
      </c>
      <c r="AC524" s="81">
        <v>0</v>
      </c>
      <c r="AD524" s="81">
        <v>0</v>
      </c>
      <c r="AE524" s="81">
        <v>0</v>
      </c>
      <c r="AF524" s="81">
        <v>0</v>
      </c>
      <c r="AG524" s="81">
        <v>0</v>
      </c>
      <c r="AH524" s="81">
        <v>0</v>
      </c>
      <c r="AI524" s="81">
        <v>0</v>
      </c>
      <c r="AJ524" s="81">
        <v>0</v>
      </c>
      <c r="AK524" s="81">
        <v>0</v>
      </c>
      <c r="AL524" s="81">
        <v>0</v>
      </c>
      <c r="AM524" s="81">
        <v>0</v>
      </c>
      <c r="AN524" s="81">
        <v>0</v>
      </c>
      <c r="AO524" s="81">
        <v>0</v>
      </c>
      <c r="AP524" s="81">
        <v>0</v>
      </c>
      <c r="AQ524" s="81">
        <v>0</v>
      </c>
      <c r="AR524" s="81">
        <v>0</v>
      </c>
      <c r="AS524" s="81">
        <v>0</v>
      </c>
      <c r="AT524" s="81">
        <v>0</v>
      </c>
      <c r="AU524" s="81">
        <v>0</v>
      </c>
      <c r="AV524" s="81">
        <v>0</v>
      </c>
      <c r="AW524" s="81">
        <v>0</v>
      </c>
      <c r="AX524" s="81">
        <v>0</v>
      </c>
      <c r="AY524" s="81">
        <v>0</v>
      </c>
      <c r="AZ524" s="81">
        <v>0</v>
      </c>
      <c r="BA524" s="81">
        <v>0</v>
      </c>
      <c r="BB524" s="81">
        <v>413</v>
      </c>
      <c r="BC524" s="81">
        <v>1805</v>
      </c>
      <c r="BD524" s="81">
        <v>0</v>
      </c>
      <c r="BE524" s="81">
        <v>0</v>
      </c>
      <c r="BF524" s="81">
        <v>0</v>
      </c>
      <c r="BG524" s="81">
        <v>0</v>
      </c>
      <c r="BH524" s="81">
        <v>0</v>
      </c>
      <c r="BI524" s="81">
        <v>0</v>
      </c>
      <c r="BJ524" s="81">
        <v>0</v>
      </c>
      <c r="BK524" s="81"/>
      <c r="BL524" s="81"/>
      <c r="BM524" s="81"/>
      <c r="BN524" s="81"/>
      <c r="BO524" s="81"/>
      <c r="BS524" s="81">
        <v>0</v>
      </c>
      <c r="BT524" s="81">
        <v>0</v>
      </c>
      <c r="BU524" s="81">
        <v>0</v>
      </c>
      <c r="BV524" s="81">
        <v>8</v>
      </c>
      <c r="BW524" s="81">
        <v>117</v>
      </c>
      <c r="BX524" s="81">
        <v>0</v>
      </c>
      <c r="BY524" s="81">
        <v>0</v>
      </c>
      <c r="BZ524" s="81">
        <v>0</v>
      </c>
      <c r="CA524" s="81">
        <v>0</v>
      </c>
      <c r="CB524" s="81">
        <v>0</v>
      </c>
      <c r="CC524" s="64">
        <f t="shared" si="900"/>
        <v>0</v>
      </c>
      <c r="CD524" s="64">
        <f t="shared" si="896"/>
        <v>0</v>
      </c>
      <c r="CE524" s="64">
        <f t="shared" si="897"/>
        <v>0</v>
      </c>
      <c r="CF524" s="64">
        <f t="shared" si="898"/>
        <v>2218</v>
      </c>
      <c r="CG524" s="64">
        <f t="shared" si="899"/>
        <v>0</v>
      </c>
      <c r="CH524" s="64"/>
      <c r="CI524" s="64"/>
    </row>
    <row r="525" spans="2:87" x14ac:dyDescent="0.2">
      <c r="B525" t="s">
        <v>331</v>
      </c>
      <c r="H525" s="81">
        <v>0</v>
      </c>
      <c r="I525" s="81">
        <v>0</v>
      </c>
      <c r="J525" s="81">
        <v>0</v>
      </c>
      <c r="K525" s="81">
        <v>0</v>
      </c>
      <c r="L525" s="81">
        <v>0</v>
      </c>
      <c r="M525" s="81">
        <v>0</v>
      </c>
      <c r="N525" s="81">
        <v>0</v>
      </c>
      <c r="O525" s="81">
        <v>0</v>
      </c>
      <c r="P525" s="81">
        <v>0</v>
      </c>
      <c r="Q525" s="81">
        <v>0</v>
      </c>
      <c r="R525" s="81">
        <v>0</v>
      </c>
      <c r="S525" s="81">
        <v>0</v>
      </c>
      <c r="T525" s="81">
        <v>0</v>
      </c>
      <c r="U525" s="81">
        <v>0</v>
      </c>
      <c r="V525" s="81">
        <v>0</v>
      </c>
      <c r="W525" s="81">
        <v>0</v>
      </c>
      <c r="X525" s="81">
        <v>0</v>
      </c>
      <c r="Y525" s="81">
        <v>0</v>
      </c>
      <c r="Z525" s="81">
        <v>0</v>
      </c>
      <c r="AA525" s="81">
        <v>0</v>
      </c>
      <c r="AB525" s="81">
        <v>0</v>
      </c>
      <c r="AC525" s="81">
        <v>0</v>
      </c>
      <c r="AD525" s="81">
        <v>0</v>
      </c>
      <c r="AE525" s="81">
        <v>0</v>
      </c>
      <c r="AF525" s="81">
        <v>0</v>
      </c>
      <c r="AG525" s="81">
        <v>0</v>
      </c>
      <c r="AH525" s="81">
        <v>0</v>
      </c>
      <c r="AI525" s="81">
        <v>0</v>
      </c>
      <c r="AJ525" s="81">
        <v>0</v>
      </c>
      <c r="AK525" s="81">
        <v>0</v>
      </c>
      <c r="AL525" s="81">
        <v>0</v>
      </c>
      <c r="AM525" s="81">
        <v>0</v>
      </c>
      <c r="AN525" s="81">
        <v>0</v>
      </c>
      <c r="AO525" s="81">
        <v>0</v>
      </c>
      <c r="AP525" s="81">
        <v>0</v>
      </c>
      <c r="AQ525" s="81">
        <v>0</v>
      </c>
      <c r="AR525" s="81">
        <v>0</v>
      </c>
      <c r="AS525" s="81">
        <v>0</v>
      </c>
      <c r="AT525" s="81">
        <v>0</v>
      </c>
      <c r="AU525" s="81">
        <v>0</v>
      </c>
      <c r="AV525" s="81">
        <v>0</v>
      </c>
      <c r="AW525" s="81">
        <v>0</v>
      </c>
      <c r="AX525" s="81">
        <v>0</v>
      </c>
      <c r="AY525" s="81">
        <v>0</v>
      </c>
      <c r="AZ525" s="81">
        <v>0</v>
      </c>
      <c r="BA525" s="81">
        <v>0</v>
      </c>
      <c r="BB525" s="81">
        <v>0</v>
      </c>
      <c r="BC525" s="81">
        <v>1341</v>
      </c>
      <c r="BD525" s="81">
        <v>0</v>
      </c>
      <c r="BE525" s="81">
        <v>0</v>
      </c>
      <c r="BF525" s="81">
        <v>0</v>
      </c>
      <c r="BG525" s="81">
        <v>7</v>
      </c>
      <c r="BH525" s="81">
        <v>0</v>
      </c>
      <c r="BI525" s="81">
        <v>0</v>
      </c>
      <c r="BJ525" s="81">
        <v>0</v>
      </c>
      <c r="BK525" s="81"/>
      <c r="BL525" s="81"/>
      <c r="BM525" s="81"/>
      <c r="BN525" s="81"/>
      <c r="BO525" s="81"/>
      <c r="BS525" s="81">
        <v>0</v>
      </c>
      <c r="BT525" s="81">
        <v>0</v>
      </c>
      <c r="BU525" s="81">
        <v>0</v>
      </c>
      <c r="BV525" s="81">
        <v>0</v>
      </c>
      <c r="BW525" s="81">
        <v>0</v>
      </c>
      <c r="BX525" s="81">
        <v>0</v>
      </c>
      <c r="BY525" s="81">
        <v>0</v>
      </c>
      <c r="BZ525" s="81">
        <v>0</v>
      </c>
      <c r="CA525" s="81">
        <v>0</v>
      </c>
      <c r="CB525" s="81">
        <v>0</v>
      </c>
      <c r="CC525" s="64">
        <f>+SUM(AN525:AQ525)</f>
        <v>0</v>
      </c>
      <c r="CD525" s="64">
        <f>+SUM(AR525:AU525)</f>
        <v>0</v>
      </c>
      <c r="CE525" s="64">
        <f t="shared" si="897"/>
        <v>0</v>
      </c>
      <c r="CF525" s="64">
        <f t="shared" si="898"/>
        <v>1341</v>
      </c>
      <c r="CG525" s="64">
        <f t="shared" si="899"/>
        <v>7</v>
      </c>
      <c r="CH525" s="64"/>
      <c r="CI525" s="64"/>
    </row>
    <row r="526" spans="2:87" x14ac:dyDescent="0.2">
      <c r="B526" t="s">
        <v>334</v>
      </c>
      <c r="H526" s="81">
        <v>0</v>
      </c>
      <c r="I526" s="81">
        <v>0</v>
      </c>
      <c r="J526" s="81">
        <v>0</v>
      </c>
      <c r="K526" s="81">
        <v>0</v>
      </c>
      <c r="L526" s="81">
        <v>0</v>
      </c>
      <c r="M526" s="81">
        <v>0</v>
      </c>
      <c r="N526" s="81">
        <v>0</v>
      </c>
      <c r="O526" s="81">
        <v>0</v>
      </c>
      <c r="P526" s="81">
        <v>0</v>
      </c>
      <c r="Q526" s="81">
        <v>0</v>
      </c>
      <c r="R526" s="81">
        <v>0</v>
      </c>
      <c r="S526" s="81">
        <v>0</v>
      </c>
      <c r="T526" s="81">
        <v>0</v>
      </c>
      <c r="U526" s="81">
        <v>0</v>
      </c>
      <c r="V526" s="81">
        <v>0</v>
      </c>
      <c r="W526" s="81">
        <v>0</v>
      </c>
      <c r="X526" s="81">
        <v>0</v>
      </c>
      <c r="Y526" s="81">
        <v>0</v>
      </c>
      <c r="Z526" s="81">
        <v>0</v>
      </c>
      <c r="AA526" s="81">
        <v>0</v>
      </c>
      <c r="AB526" s="81">
        <v>0</v>
      </c>
      <c r="AC526" s="81">
        <v>0</v>
      </c>
      <c r="AD526" s="81">
        <v>0</v>
      </c>
      <c r="AE526" s="81">
        <v>0</v>
      </c>
      <c r="AF526" s="81">
        <v>0</v>
      </c>
      <c r="AG526" s="81">
        <v>0</v>
      </c>
      <c r="AH526" s="81">
        <v>0</v>
      </c>
      <c r="AI526" s="81">
        <v>0</v>
      </c>
      <c r="AJ526" s="81">
        <v>0</v>
      </c>
      <c r="AK526" s="81">
        <v>0</v>
      </c>
      <c r="AL526" s="81">
        <v>0</v>
      </c>
      <c r="AM526" s="81">
        <v>0</v>
      </c>
      <c r="AN526" s="81">
        <v>0</v>
      </c>
      <c r="AO526" s="81">
        <v>0</v>
      </c>
      <c r="AP526" s="81">
        <v>0</v>
      </c>
      <c r="AQ526" s="81">
        <v>0</v>
      </c>
      <c r="AR526" s="81">
        <v>0</v>
      </c>
      <c r="AS526" s="81">
        <v>0</v>
      </c>
      <c r="AT526" s="81">
        <v>0</v>
      </c>
      <c r="AU526" s="81">
        <v>0</v>
      </c>
      <c r="AV526" s="81">
        <v>0</v>
      </c>
      <c r="AW526" s="81">
        <v>0</v>
      </c>
      <c r="AX526" s="81">
        <v>0</v>
      </c>
      <c r="AY526" s="81">
        <v>0</v>
      </c>
      <c r="AZ526" s="81">
        <v>0</v>
      </c>
      <c r="BA526" s="81">
        <v>0</v>
      </c>
      <c r="BB526" s="81">
        <v>0</v>
      </c>
      <c r="BC526" s="81">
        <v>0</v>
      </c>
      <c r="BD526" s="81">
        <v>770</v>
      </c>
      <c r="BE526" s="81">
        <v>232</v>
      </c>
      <c r="BF526" s="81">
        <v>340</v>
      </c>
      <c r="BG526" s="81">
        <v>1091</v>
      </c>
      <c r="BH526" s="81">
        <v>240</v>
      </c>
      <c r="BI526" s="81">
        <v>41</v>
      </c>
      <c r="BJ526" s="81">
        <v>8</v>
      </c>
      <c r="BK526" s="81"/>
      <c r="BL526" s="81"/>
      <c r="BM526" s="81"/>
      <c r="BN526" s="81"/>
      <c r="BO526" s="81"/>
      <c r="BS526" s="81">
        <v>0</v>
      </c>
      <c r="BT526" s="81">
        <v>0</v>
      </c>
      <c r="BU526" s="81">
        <v>0</v>
      </c>
      <c r="BV526" s="81">
        <v>0</v>
      </c>
      <c r="BW526" s="81">
        <v>0</v>
      </c>
      <c r="BX526" s="81">
        <v>0</v>
      </c>
      <c r="BY526" s="81">
        <v>0</v>
      </c>
      <c r="BZ526" s="81">
        <v>0</v>
      </c>
      <c r="CA526" s="81">
        <v>0</v>
      </c>
      <c r="CB526" s="81">
        <v>0</v>
      </c>
      <c r="CC526" s="64">
        <f>+SUM(AN526:AQ526)</f>
        <v>0</v>
      </c>
      <c r="CD526" s="64">
        <f>+SUM(AR526:AU526)</f>
        <v>0</v>
      </c>
      <c r="CE526" s="64">
        <f>+SUM(AV526:AY526)</f>
        <v>0</v>
      </c>
      <c r="CF526" s="64">
        <f>+SUM(AZ526:BC526)</f>
        <v>0</v>
      </c>
      <c r="CG526" s="64">
        <f t="shared" si="899"/>
        <v>2433</v>
      </c>
      <c r="CH526" s="64"/>
      <c r="CI526" s="64"/>
    </row>
    <row r="527" spans="2:87" x14ac:dyDescent="0.2">
      <c r="B527" t="s">
        <v>332</v>
      </c>
      <c r="H527" s="81">
        <v>0</v>
      </c>
      <c r="I527" s="81">
        <v>0</v>
      </c>
      <c r="J527" s="81">
        <v>0</v>
      </c>
      <c r="K527" s="81">
        <v>0</v>
      </c>
      <c r="L527" s="81">
        <v>0</v>
      </c>
      <c r="M527" s="81">
        <v>0</v>
      </c>
      <c r="N527" s="81">
        <v>0</v>
      </c>
      <c r="O527" s="81">
        <v>0</v>
      </c>
      <c r="P527" s="81">
        <v>0</v>
      </c>
      <c r="Q527" s="81">
        <v>0</v>
      </c>
      <c r="R527" s="81">
        <v>0</v>
      </c>
      <c r="S527" s="81">
        <v>0</v>
      </c>
      <c r="T527" s="81">
        <v>0</v>
      </c>
      <c r="U527" s="81">
        <v>0</v>
      </c>
      <c r="V527" s="81">
        <v>0</v>
      </c>
      <c r="W527" s="81">
        <v>0</v>
      </c>
      <c r="X527" s="81">
        <v>0</v>
      </c>
      <c r="Y527" s="81">
        <v>0</v>
      </c>
      <c r="Z527" s="81">
        <v>0</v>
      </c>
      <c r="AA527" s="81">
        <v>0</v>
      </c>
      <c r="AB527" s="81">
        <v>0</v>
      </c>
      <c r="AC527" s="81">
        <v>0</v>
      </c>
      <c r="AD527" s="81">
        <v>0</v>
      </c>
      <c r="AE527" s="81">
        <v>0</v>
      </c>
      <c r="AF527" s="81">
        <v>0</v>
      </c>
      <c r="AG527" s="81">
        <v>0</v>
      </c>
      <c r="AH527" s="81">
        <v>0</v>
      </c>
      <c r="AI527" s="81">
        <v>0</v>
      </c>
      <c r="AJ527" s="81">
        <v>0</v>
      </c>
      <c r="AK527" s="81">
        <v>0</v>
      </c>
      <c r="AL527" s="81">
        <v>0</v>
      </c>
      <c r="AM527" s="81">
        <v>0</v>
      </c>
      <c r="AN527" s="81">
        <v>0</v>
      </c>
      <c r="AO527" s="81">
        <v>0</v>
      </c>
      <c r="AP527" s="81">
        <v>0</v>
      </c>
      <c r="AQ527" s="81">
        <v>0</v>
      </c>
      <c r="AR527" s="81">
        <v>0</v>
      </c>
      <c r="AS527" s="81">
        <v>0</v>
      </c>
      <c r="AT527" s="81">
        <v>0</v>
      </c>
      <c r="AU527" s="81">
        <v>0</v>
      </c>
      <c r="AV527" s="81">
        <v>0</v>
      </c>
      <c r="AW527" s="81">
        <v>0</v>
      </c>
      <c r="AX527" s="81">
        <v>0</v>
      </c>
      <c r="AY527" s="81">
        <v>0</v>
      </c>
      <c r="AZ527" s="81">
        <v>0</v>
      </c>
      <c r="BA527" s="81">
        <v>0</v>
      </c>
      <c r="BB527" s="81">
        <v>0</v>
      </c>
      <c r="BC527" s="81">
        <v>328</v>
      </c>
      <c r="BD527" s="81">
        <v>0</v>
      </c>
      <c r="BE527" s="81">
        <v>0</v>
      </c>
      <c r="BF527" s="81">
        <v>0</v>
      </c>
      <c r="BG527" s="81">
        <v>0</v>
      </c>
      <c r="BH527" s="81">
        <v>0</v>
      </c>
      <c r="BI527" s="81">
        <v>0</v>
      </c>
      <c r="BJ527" s="81">
        <v>0</v>
      </c>
      <c r="BK527" s="81"/>
      <c r="BL527" s="81"/>
      <c r="BM527" s="81"/>
      <c r="BN527" s="81"/>
      <c r="BO527" s="81"/>
      <c r="BS527" s="81">
        <v>0</v>
      </c>
      <c r="BT527" s="81">
        <v>0</v>
      </c>
      <c r="BU527" s="81">
        <v>0</v>
      </c>
      <c r="BV527" s="81">
        <v>0</v>
      </c>
      <c r="BW527" s="81">
        <v>0</v>
      </c>
      <c r="BX527" s="81">
        <v>0</v>
      </c>
      <c r="BY527" s="81">
        <v>0</v>
      </c>
      <c r="BZ527" s="81">
        <v>0</v>
      </c>
      <c r="CA527" s="81">
        <v>0</v>
      </c>
      <c r="CB527" s="81">
        <v>0</v>
      </c>
      <c r="CC527" s="64">
        <f>+SUM(AN527:AQ527)</f>
        <v>0</v>
      </c>
      <c r="CD527" s="64">
        <f>+SUM(AR527:AU527)</f>
        <v>0</v>
      </c>
      <c r="CE527" s="64">
        <f t="shared" si="897"/>
        <v>0</v>
      </c>
      <c r="CF527" s="64">
        <f t="shared" si="898"/>
        <v>328</v>
      </c>
      <c r="CG527" s="64">
        <f t="shared" si="899"/>
        <v>0</v>
      </c>
      <c r="CH527" s="64"/>
      <c r="CI527" s="64"/>
    </row>
    <row r="528" spans="2:87" x14ac:dyDescent="0.2">
      <c r="B528" t="s">
        <v>33</v>
      </c>
      <c r="H528" s="81">
        <v>0</v>
      </c>
      <c r="I528" s="81">
        <v>0</v>
      </c>
      <c r="J528" s="81">
        <v>0</v>
      </c>
      <c r="K528" s="81">
        <v>0</v>
      </c>
      <c r="L528" s="81">
        <v>0</v>
      </c>
      <c r="M528" s="81">
        <v>0</v>
      </c>
      <c r="N528" s="81">
        <v>0</v>
      </c>
      <c r="O528" s="81">
        <v>15</v>
      </c>
      <c r="P528" s="81">
        <v>9</v>
      </c>
      <c r="Q528" s="81">
        <v>11</v>
      </c>
      <c r="R528" s="81">
        <v>19</v>
      </c>
      <c r="S528" s="81">
        <v>17</v>
      </c>
      <c r="T528" s="81">
        <v>-4</v>
      </c>
      <c r="U528" s="81">
        <v>-19</v>
      </c>
      <c r="V528" s="81">
        <v>-3</v>
      </c>
      <c r="W528" s="81">
        <v>2</v>
      </c>
      <c r="X528" s="81">
        <v>6</v>
      </c>
      <c r="Y528" s="81">
        <v>1</v>
      </c>
      <c r="Z528" s="81">
        <v>6</v>
      </c>
      <c r="AA528" s="81">
        <v>4</v>
      </c>
      <c r="AB528" s="81">
        <v>13</v>
      </c>
      <c r="AC528" s="81">
        <v>6</v>
      </c>
      <c r="AD528" s="81">
        <v>4</v>
      </c>
      <c r="AE528" s="81">
        <v>7</v>
      </c>
      <c r="AF528" s="81">
        <v>5</v>
      </c>
      <c r="AG528" s="81">
        <v>7</v>
      </c>
      <c r="AH528" s="81">
        <v>6</v>
      </c>
      <c r="AI528" s="81">
        <v>6</v>
      </c>
      <c r="AJ528" s="81">
        <v>8</v>
      </c>
      <c r="AK528" s="81">
        <v>10</v>
      </c>
      <c r="AL528" s="81">
        <v>1</v>
      </c>
      <c r="AM528" s="81">
        <v>-83</v>
      </c>
      <c r="AN528" s="81">
        <v>6</v>
      </c>
      <c r="AO528" s="81">
        <v>9</v>
      </c>
      <c r="AP528" s="81">
        <v>30</v>
      </c>
      <c r="AQ528" s="81">
        <v>-6</v>
      </c>
      <c r="AR528" s="81">
        <v>6</v>
      </c>
      <c r="AS528" s="81">
        <v>43</v>
      </c>
      <c r="AT528" s="81">
        <v>7</v>
      </c>
      <c r="AU528" s="81">
        <v>62</v>
      </c>
      <c r="AV528" s="81">
        <v>-66</v>
      </c>
      <c r="AW528" s="81">
        <v>-21</v>
      </c>
      <c r="AX528" s="81">
        <v>-73</v>
      </c>
      <c r="AY528" s="81">
        <v>34</v>
      </c>
      <c r="AZ528" s="81">
        <v>-221</v>
      </c>
      <c r="BA528" s="81">
        <v>189</v>
      </c>
      <c r="BB528" s="81">
        <v>104</v>
      </c>
      <c r="BC528" s="81">
        <v>244</v>
      </c>
      <c r="BD528" s="81">
        <v>-7</v>
      </c>
      <c r="BE528" s="81">
        <v>212</v>
      </c>
      <c r="BF528" s="81">
        <v>75</v>
      </c>
      <c r="BG528" s="81">
        <v>124</v>
      </c>
      <c r="BH528" s="81">
        <v>-66</v>
      </c>
      <c r="BI528" s="81">
        <v>-6</v>
      </c>
      <c r="BJ528" s="81">
        <v>-11</v>
      </c>
      <c r="BK528" s="81"/>
      <c r="BL528" s="81"/>
      <c r="BM528" s="81"/>
      <c r="BN528" s="81"/>
      <c r="BO528" s="81"/>
      <c r="BS528" s="81">
        <v>0</v>
      </c>
      <c r="BT528" s="81">
        <v>0</v>
      </c>
      <c r="BU528" s="81">
        <v>0</v>
      </c>
      <c r="BV528" s="81">
        <v>15</v>
      </c>
      <c r="BW528" s="81">
        <v>56</v>
      </c>
      <c r="BX528" s="81">
        <v>-24</v>
      </c>
      <c r="BY528" s="81">
        <v>17</v>
      </c>
      <c r="BZ528" s="81">
        <v>30</v>
      </c>
      <c r="CA528" s="81">
        <v>24</v>
      </c>
      <c r="CB528" s="81">
        <v>-64</v>
      </c>
      <c r="CC528" s="64">
        <f t="shared" si="900"/>
        <v>39</v>
      </c>
      <c r="CD528" s="64">
        <f t="shared" si="896"/>
        <v>118</v>
      </c>
      <c r="CE528" s="64">
        <f t="shared" si="897"/>
        <v>-126</v>
      </c>
      <c r="CF528" s="64">
        <f t="shared" si="898"/>
        <v>316</v>
      </c>
      <c r="CG528" s="64">
        <f t="shared" si="899"/>
        <v>404</v>
      </c>
      <c r="CH528" s="64"/>
      <c r="CI528" s="64"/>
    </row>
    <row r="529" spans="2:87" x14ac:dyDescent="0.2">
      <c r="B529" t="s">
        <v>154</v>
      </c>
      <c r="H529" s="81">
        <v>27</v>
      </c>
      <c r="I529" s="81">
        <v>-55</v>
      </c>
      <c r="J529" s="81">
        <v>-44</v>
      </c>
      <c r="K529" s="81">
        <v>-102</v>
      </c>
      <c r="L529" s="81">
        <v>65</v>
      </c>
      <c r="M529" s="81">
        <v>-105</v>
      </c>
      <c r="N529" s="81">
        <v>-50</v>
      </c>
      <c r="O529" s="81">
        <v>-80</v>
      </c>
      <c r="P529" s="81">
        <v>54</v>
      </c>
      <c r="Q529" s="81">
        <v>-116</v>
      </c>
      <c r="R529" s="81">
        <v>-83</v>
      </c>
      <c r="S529" s="81">
        <v>-233</v>
      </c>
      <c r="T529" s="81">
        <v>105</v>
      </c>
      <c r="U529" s="81">
        <v>-187</v>
      </c>
      <c r="V529" s="81">
        <v>-182</v>
      </c>
      <c r="W529" s="81">
        <v>-346</v>
      </c>
      <c r="X529" s="81">
        <v>84</v>
      </c>
      <c r="Y529" s="81">
        <v>-282</v>
      </c>
      <c r="Z529" s="81">
        <v>-207</v>
      </c>
      <c r="AA529" s="81">
        <v>-568</v>
      </c>
      <c r="AB529" s="81">
        <v>267</v>
      </c>
      <c r="AC529" s="81">
        <v>-492</v>
      </c>
      <c r="AD529" s="81">
        <v>-253</v>
      </c>
      <c r="AE529" s="81">
        <v>-1011</v>
      </c>
      <c r="AF529" s="81">
        <v>609</v>
      </c>
      <c r="AG529" s="81">
        <v>-386</v>
      </c>
      <c r="AH529" s="81">
        <v>-458</v>
      </c>
      <c r="AI529" s="81">
        <v>-1374</v>
      </c>
      <c r="AJ529" s="81">
        <v>788</v>
      </c>
      <c r="AK529" s="81">
        <v>-627</v>
      </c>
      <c r="AL529" s="81">
        <v>-489</v>
      </c>
      <c r="AM529" s="81">
        <v>-1564</v>
      </c>
      <c r="AN529" s="81">
        <v>1070</v>
      </c>
      <c r="AO529" s="81">
        <v>-1006</v>
      </c>
      <c r="AP529" s="81">
        <v>-328</v>
      </c>
      <c r="AQ529" s="81">
        <v>-1697</v>
      </c>
      <c r="AR529" s="81">
        <v>2046</v>
      </c>
      <c r="AS529" s="81">
        <v>-122</v>
      </c>
      <c r="AT529" s="81">
        <v>-377</v>
      </c>
      <c r="AU529" s="81">
        <v>-3059</v>
      </c>
      <c r="AV529" s="81">
        <v>849</v>
      </c>
      <c r="AW529" s="81">
        <v>-1366</v>
      </c>
      <c r="AX529" s="81">
        <v>-555</v>
      </c>
      <c r="AY529" s="81">
        <v>-2038</v>
      </c>
      <c r="AZ529" s="81">
        <v>2557</v>
      </c>
      <c r="BA529" s="81">
        <v>-522</v>
      </c>
      <c r="BB529" s="81">
        <v>-105</v>
      </c>
      <c r="BC529" s="81">
        <v>-1698</v>
      </c>
      <c r="BD529" s="81">
        <v>2546</v>
      </c>
      <c r="BE529" s="81">
        <v>-1424</v>
      </c>
      <c r="BF529" s="81">
        <v>-678</v>
      </c>
      <c r="BG529" s="81">
        <v>-2843</v>
      </c>
      <c r="BH529" s="81">
        <v>2520</v>
      </c>
      <c r="BI529" s="81">
        <v>-1171</v>
      </c>
      <c r="BJ529" s="81">
        <v>143</v>
      </c>
      <c r="BK529" s="81"/>
      <c r="BL529" s="81"/>
      <c r="BM529" s="81"/>
      <c r="BN529" s="81"/>
      <c r="BO529" s="81"/>
      <c r="BS529" s="81">
        <v>-112</v>
      </c>
      <c r="BT529" s="81">
        <v>-209</v>
      </c>
      <c r="BU529" s="81">
        <v>-174</v>
      </c>
      <c r="BV529" s="81">
        <v>-170</v>
      </c>
      <c r="BW529" s="81">
        <v>-378</v>
      </c>
      <c r="BX529" s="81">
        <v>-610</v>
      </c>
      <c r="BY529" s="81">
        <v>-973</v>
      </c>
      <c r="BZ529" s="81">
        <v>-1489</v>
      </c>
      <c r="CA529" s="81">
        <v>-1609</v>
      </c>
      <c r="CB529" s="81">
        <v>-1892</v>
      </c>
      <c r="CC529" s="64">
        <f t="shared" si="900"/>
        <v>-1961</v>
      </c>
      <c r="CD529" s="64">
        <f t="shared" si="896"/>
        <v>-1512</v>
      </c>
      <c r="CE529" s="64">
        <f t="shared" si="897"/>
        <v>-3110</v>
      </c>
      <c r="CF529" s="64">
        <f t="shared" si="898"/>
        <v>232</v>
      </c>
      <c r="CG529" s="64">
        <f t="shared" si="899"/>
        <v>-2399</v>
      </c>
      <c r="CH529" s="64"/>
      <c r="CI529" s="64"/>
    </row>
    <row r="530" spans="2:87" x14ac:dyDescent="0.2">
      <c r="B530" t="s">
        <v>155</v>
      </c>
      <c r="H530" s="81">
        <v>-26</v>
      </c>
      <c r="I530" s="81">
        <v>-200</v>
      </c>
      <c r="J530" s="81">
        <v>113</v>
      </c>
      <c r="K530" s="81">
        <v>89</v>
      </c>
      <c r="L530" s="81">
        <v>-33</v>
      </c>
      <c r="M530" s="81">
        <v>26</v>
      </c>
      <c r="N530" s="81">
        <v>31</v>
      </c>
      <c r="O530" s="81">
        <v>-489</v>
      </c>
      <c r="P530" s="81">
        <v>-1</v>
      </c>
      <c r="Q530" s="81">
        <v>429</v>
      </c>
      <c r="R530" s="81">
        <v>5</v>
      </c>
      <c r="S530" s="81">
        <v>-78</v>
      </c>
      <c r="T530" s="81">
        <v>-4</v>
      </c>
      <c r="U530" s="81">
        <v>14</v>
      </c>
      <c r="V530" s="81">
        <v>-55</v>
      </c>
      <c r="W530" s="81">
        <v>-78</v>
      </c>
      <c r="X530" s="81">
        <v>-43</v>
      </c>
      <c r="Y530" s="81">
        <v>-47</v>
      </c>
      <c r="Z530" s="81">
        <v>-55</v>
      </c>
      <c r="AA530" s="81">
        <v>1</v>
      </c>
      <c r="AB530" s="81">
        <v>-107</v>
      </c>
      <c r="AC530" s="81">
        <v>-150</v>
      </c>
      <c r="AD530" s="81">
        <v>-57</v>
      </c>
      <c r="AE530" s="81">
        <v>155</v>
      </c>
      <c r="AF530" s="81">
        <v>-365</v>
      </c>
      <c r="AG530" s="81">
        <v>-212</v>
      </c>
      <c r="AH530" s="81">
        <v>-57</v>
      </c>
      <c r="AI530" s="81">
        <v>442</v>
      </c>
      <c r="AJ530" s="81">
        <v>-365</v>
      </c>
      <c r="AK530" s="81">
        <v>-535</v>
      </c>
      <c r="AL530" s="81">
        <v>9</v>
      </c>
      <c r="AM530" s="81">
        <v>199</v>
      </c>
      <c r="AN530" s="81">
        <v>84</v>
      </c>
      <c r="AO530" s="81">
        <v>-252</v>
      </c>
      <c r="AP530" s="81">
        <v>-360</v>
      </c>
      <c r="AQ530" s="81">
        <v>577</v>
      </c>
      <c r="AR530" s="81">
        <v>-29</v>
      </c>
      <c r="AS530" s="81">
        <v>-325</v>
      </c>
      <c r="AT530" s="81">
        <v>264</v>
      </c>
      <c r="AU530" s="81">
        <v>225</v>
      </c>
      <c r="AV530" s="81">
        <v>-461</v>
      </c>
      <c r="AW530" s="81">
        <v>-1852</v>
      </c>
      <c r="AX530" s="81">
        <v>-253</v>
      </c>
      <c r="AY530" s="81">
        <v>817</v>
      </c>
      <c r="AZ530" s="81">
        <v>573</v>
      </c>
      <c r="BA530" s="81">
        <v>-435</v>
      </c>
      <c r="BB530" s="81">
        <v>-830</v>
      </c>
      <c r="BC530" s="81">
        <v>854</v>
      </c>
      <c r="BD530" s="81">
        <v>821</v>
      </c>
      <c r="BE530" s="81">
        <v>-54</v>
      </c>
      <c r="BF530" s="81">
        <v>-907</v>
      </c>
      <c r="BG530" s="81">
        <v>700</v>
      </c>
      <c r="BH530" s="81">
        <v>100</v>
      </c>
      <c r="BI530" s="81">
        <v>-84</v>
      </c>
      <c r="BJ530" s="81">
        <v>-184</v>
      </c>
      <c r="BK530" s="81"/>
      <c r="BL530" s="81"/>
      <c r="BM530" s="81"/>
      <c r="BN530" s="81"/>
      <c r="BO530" s="81"/>
      <c r="BS530" s="81">
        <v>-30</v>
      </c>
      <c r="BT530" s="81">
        <v>-38</v>
      </c>
      <c r="BU530" s="81">
        <v>-24</v>
      </c>
      <c r="BV530" s="81">
        <v>-465</v>
      </c>
      <c r="BW530" s="81">
        <v>355</v>
      </c>
      <c r="BX530" s="81">
        <v>-123</v>
      </c>
      <c r="BY530" s="81">
        <v>-144</v>
      </c>
      <c r="BZ530" s="81">
        <v>-159</v>
      </c>
      <c r="CA530" s="81">
        <v>-192</v>
      </c>
      <c r="CB530" s="81">
        <v>-690</v>
      </c>
      <c r="CC530" s="64">
        <f t="shared" si="900"/>
        <v>49</v>
      </c>
      <c r="CD530" s="64">
        <f t="shared" si="896"/>
        <v>135</v>
      </c>
      <c r="CE530" s="64">
        <f t="shared" si="897"/>
        <v>-1749</v>
      </c>
      <c r="CF530" s="64">
        <f t="shared" si="898"/>
        <v>162</v>
      </c>
      <c r="CG530" s="64">
        <f t="shared" si="899"/>
        <v>560</v>
      </c>
      <c r="CH530" s="64"/>
      <c r="CI530" s="64"/>
    </row>
    <row r="531" spans="2:87" x14ac:dyDescent="0.2">
      <c r="B531" t="s">
        <v>156</v>
      </c>
      <c r="H531" s="81">
        <v>-10</v>
      </c>
      <c r="I531" s="81">
        <v>4</v>
      </c>
      <c r="J531" s="81">
        <v>-19</v>
      </c>
      <c r="K531" s="81">
        <v>20</v>
      </c>
      <c r="L531" s="81">
        <v>-6</v>
      </c>
      <c r="M531" s="81">
        <v>-3</v>
      </c>
      <c r="N531" s="81">
        <v>9</v>
      </c>
      <c r="O531" s="81">
        <v>2</v>
      </c>
      <c r="P531" s="81">
        <v>-36</v>
      </c>
      <c r="Q531" s="81">
        <v>-8</v>
      </c>
      <c r="R531" s="81">
        <v>9</v>
      </c>
      <c r="S531" s="81">
        <v>-107</v>
      </c>
      <c r="T531" s="81">
        <v>16</v>
      </c>
      <c r="U531" s="81">
        <v>2</v>
      </c>
      <c r="V531" s="81">
        <v>-176</v>
      </c>
      <c r="W531" s="81">
        <v>-58</v>
      </c>
      <c r="X531" s="81">
        <v>-32</v>
      </c>
      <c r="Y531" s="81">
        <v>7</v>
      </c>
      <c r="Z531" s="81">
        <v>29</v>
      </c>
      <c r="AA531" s="81">
        <v>-7</v>
      </c>
      <c r="AB531" s="81">
        <v>15</v>
      </c>
      <c r="AC531" s="81">
        <v>-11</v>
      </c>
      <c r="AD531" s="81">
        <v>42</v>
      </c>
      <c r="AE531" s="81">
        <v>-32</v>
      </c>
      <c r="AF531" s="81">
        <v>31</v>
      </c>
      <c r="AG531" s="81">
        <v>51</v>
      </c>
      <c r="AH531" s="81">
        <v>48</v>
      </c>
      <c r="AI531" s="81">
        <v>24</v>
      </c>
      <c r="AJ531" s="81">
        <v>22</v>
      </c>
      <c r="AK531" s="81">
        <v>-77</v>
      </c>
      <c r="AL531" s="81">
        <v>-40</v>
      </c>
      <c r="AM531" s="81">
        <v>-60</v>
      </c>
      <c r="AN531" s="81">
        <v>41</v>
      </c>
      <c r="AO531" s="81">
        <v>24</v>
      </c>
      <c r="AP531" s="81">
        <v>0</v>
      </c>
      <c r="AQ531" s="81">
        <v>-26</v>
      </c>
      <c r="AR531" s="81">
        <v>-16</v>
      </c>
      <c r="AS531" s="81">
        <v>3</v>
      </c>
      <c r="AT531" s="81">
        <v>6</v>
      </c>
      <c r="AU531" s="81">
        <v>-25</v>
      </c>
      <c r="AV531" s="81">
        <v>-10</v>
      </c>
      <c r="AW531" s="81">
        <v>-185</v>
      </c>
      <c r="AX531" s="81">
        <v>11</v>
      </c>
      <c r="AY531" s="81">
        <v>-165</v>
      </c>
      <c r="AZ531" s="81">
        <v>-108</v>
      </c>
      <c r="BA531" s="81">
        <v>-25</v>
      </c>
      <c r="BB531" s="81">
        <v>-27</v>
      </c>
      <c r="BC531" s="81">
        <v>54</v>
      </c>
      <c r="BD531" s="81">
        <v>30</v>
      </c>
      <c r="BE531" s="81">
        <v>37</v>
      </c>
      <c r="BF531" s="81">
        <v>-36</v>
      </c>
      <c r="BG531" s="81">
        <v>-111</v>
      </c>
      <c r="BH531" s="81">
        <v>-94</v>
      </c>
      <c r="BI531" s="81">
        <v>54</v>
      </c>
      <c r="BJ531" s="81">
        <v>-29</v>
      </c>
      <c r="BK531" s="81"/>
      <c r="BL531" s="81"/>
      <c r="BM531" s="81"/>
      <c r="BN531" s="81"/>
      <c r="BO531" s="81"/>
      <c r="BS531" s="81">
        <v>-59</v>
      </c>
      <c r="BT531" s="81">
        <v>-6</v>
      </c>
      <c r="BU531" s="81">
        <v>-5</v>
      </c>
      <c r="BV531" s="81">
        <v>2</v>
      </c>
      <c r="BW531" s="81">
        <v>-142</v>
      </c>
      <c r="BX531" s="81">
        <v>-216</v>
      </c>
      <c r="BY531" s="81">
        <v>-3</v>
      </c>
      <c r="BZ531" s="81">
        <v>14</v>
      </c>
      <c r="CA531" s="81">
        <v>154</v>
      </c>
      <c r="CB531" s="81">
        <v>-159</v>
      </c>
      <c r="CC531" s="64">
        <f t="shared" si="900"/>
        <v>39</v>
      </c>
      <c r="CD531" s="64">
        <f t="shared" si="896"/>
        <v>-32</v>
      </c>
      <c r="CE531" s="64">
        <f t="shared" si="897"/>
        <v>-349</v>
      </c>
      <c r="CF531" s="64">
        <f t="shared" si="898"/>
        <v>-106</v>
      </c>
      <c r="CG531" s="64">
        <f t="shared" si="899"/>
        <v>-80</v>
      </c>
      <c r="CH531" s="64"/>
      <c r="CI531" s="64"/>
    </row>
    <row r="532" spans="2:87" x14ac:dyDescent="0.2">
      <c r="B532" t="s">
        <v>157</v>
      </c>
      <c r="H532" s="81">
        <v>-3</v>
      </c>
      <c r="I532" s="81">
        <v>10</v>
      </c>
      <c r="J532" s="81">
        <v>29</v>
      </c>
      <c r="K532" s="81">
        <v>-30</v>
      </c>
      <c r="L532" s="81">
        <v>-3</v>
      </c>
      <c r="M532" s="81">
        <v>-5</v>
      </c>
      <c r="N532" s="81">
        <v>28</v>
      </c>
      <c r="O532" s="81">
        <v>-19</v>
      </c>
      <c r="P532" s="81">
        <v>1</v>
      </c>
      <c r="Q532" s="81">
        <v>1</v>
      </c>
      <c r="R532" s="81">
        <v>-19</v>
      </c>
      <c r="S532" s="81">
        <v>43</v>
      </c>
      <c r="T532" s="81">
        <v>-10</v>
      </c>
      <c r="U532" s="81">
        <v>79</v>
      </c>
      <c r="V532" s="81">
        <v>-57</v>
      </c>
      <c r="W532" s="81">
        <v>19</v>
      </c>
      <c r="X532" s="81">
        <v>-15</v>
      </c>
      <c r="Y532" s="81">
        <v>31</v>
      </c>
      <c r="Z532" s="81">
        <v>-9</v>
      </c>
      <c r="AA532" s="81">
        <v>11</v>
      </c>
      <c r="AB532" s="81">
        <v>2</v>
      </c>
      <c r="AC532" s="81">
        <v>-41</v>
      </c>
      <c r="AD532" s="81">
        <v>18</v>
      </c>
      <c r="AE532" s="81">
        <v>35</v>
      </c>
      <c r="AF532" s="81">
        <v>-10</v>
      </c>
      <c r="AG532" s="81">
        <v>-28</v>
      </c>
      <c r="AH532" s="81">
        <v>31</v>
      </c>
      <c r="AI532" s="81">
        <v>50</v>
      </c>
      <c r="AJ532" s="81">
        <v>1</v>
      </c>
      <c r="AK532" s="81">
        <v>49</v>
      </c>
      <c r="AL532" s="81">
        <v>38</v>
      </c>
      <c r="AM532" s="81">
        <v>133</v>
      </c>
      <c r="AN532" s="81">
        <v>-96</v>
      </c>
      <c r="AO532" s="81">
        <v>8</v>
      </c>
      <c r="AP532" s="81">
        <v>89</v>
      </c>
      <c r="AQ532" s="81">
        <v>112</v>
      </c>
      <c r="AR532" s="81">
        <v>-44</v>
      </c>
      <c r="AS532" s="81">
        <v>-56</v>
      </c>
      <c r="AT532" s="81">
        <v>139</v>
      </c>
      <c r="AU532" s="81">
        <v>-56</v>
      </c>
      <c r="AV532" s="81">
        <v>-250</v>
      </c>
      <c r="AW532" s="81">
        <v>116</v>
      </c>
      <c r="AX532" s="81">
        <v>694</v>
      </c>
      <c r="AY532" s="81">
        <v>876</v>
      </c>
      <c r="AZ532" s="81">
        <v>-882</v>
      </c>
      <c r="BA532" s="81">
        <v>237</v>
      </c>
      <c r="BB532" s="81">
        <v>-22</v>
      </c>
      <c r="BC532" s="81">
        <v>876</v>
      </c>
      <c r="BD532" s="81">
        <v>-1104</v>
      </c>
      <c r="BE532" s="81">
        <v>-51</v>
      </c>
      <c r="BF532" s="81">
        <v>611</v>
      </c>
      <c r="BG532" s="81">
        <v>595</v>
      </c>
      <c r="BH532" s="81">
        <v>-1112</v>
      </c>
      <c r="BI532" s="81">
        <v>250</v>
      </c>
      <c r="BJ532" s="81">
        <v>667</v>
      </c>
      <c r="BK532" s="81"/>
      <c r="BL532" s="81"/>
      <c r="BM532" s="81"/>
      <c r="BN532" s="81"/>
      <c r="BO532" s="81"/>
      <c r="BS532" s="81">
        <v>-7</v>
      </c>
      <c r="BT532" s="81">
        <v>12</v>
      </c>
      <c r="BU532" s="81">
        <v>6</v>
      </c>
      <c r="BV532" s="81">
        <v>1</v>
      </c>
      <c r="BW532" s="81">
        <v>26</v>
      </c>
      <c r="BX532" s="81">
        <v>31</v>
      </c>
      <c r="BY532" s="81">
        <v>18</v>
      </c>
      <c r="BZ532" s="81">
        <v>14</v>
      </c>
      <c r="CA532" s="81">
        <v>43</v>
      </c>
      <c r="CB532" s="81">
        <v>221</v>
      </c>
      <c r="CC532" s="64">
        <f t="shared" si="900"/>
        <v>113</v>
      </c>
      <c r="CD532" s="64">
        <f t="shared" si="896"/>
        <v>-17</v>
      </c>
      <c r="CE532" s="64">
        <f t="shared" si="897"/>
        <v>1436</v>
      </c>
      <c r="CF532" s="64">
        <f t="shared" si="898"/>
        <v>209</v>
      </c>
      <c r="CG532" s="64">
        <f t="shared" si="899"/>
        <v>51</v>
      </c>
      <c r="CH532" s="64"/>
      <c r="CI532" s="64"/>
    </row>
    <row r="533" spans="2:87" x14ac:dyDescent="0.2">
      <c r="B533" t="s">
        <v>158</v>
      </c>
      <c r="H533" s="81">
        <v>24</v>
      </c>
      <c r="I533" s="81">
        <v>14</v>
      </c>
      <c r="J533" s="81">
        <v>53</v>
      </c>
      <c r="K533" s="81">
        <v>5</v>
      </c>
      <c r="L533" s="81">
        <v>7</v>
      </c>
      <c r="M533" s="81">
        <v>-22</v>
      </c>
      <c r="N533" s="81">
        <v>-1</v>
      </c>
      <c r="O533" s="81">
        <v>14</v>
      </c>
      <c r="P533" s="81">
        <v>21</v>
      </c>
      <c r="Q533" s="81">
        <v>-18</v>
      </c>
      <c r="R533" s="81">
        <v>-1</v>
      </c>
      <c r="S533" s="81">
        <v>10</v>
      </c>
      <c r="T533" s="81">
        <v>7</v>
      </c>
      <c r="U533" s="81">
        <v>-12</v>
      </c>
      <c r="V533" s="81">
        <v>-17</v>
      </c>
      <c r="W533" s="81">
        <v>-6</v>
      </c>
      <c r="X533" s="81">
        <v>-13</v>
      </c>
      <c r="Y533" s="81">
        <v>-6</v>
      </c>
      <c r="Z533" s="81">
        <v>59</v>
      </c>
      <c r="AA533" s="81">
        <v>-23</v>
      </c>
      <c r="AB533" s="81">
        <v>-3</v>
      </c>
      <c r="AC533" s="81">
        <v>17</v>
      </c>
      <c r="AD533" s="81">
        <v>6</v>
      </c>
      <c r="AE533" s="81">
        <v>47</v>
      </c>
      <c r="AF533" s="81">
        <v>-3</v>
      </c>
      <c r="AG533" s="81">
        <v>-7</v>
      </c>
      <c r="AH533" s="81">
        <v>32</v>
      </c>
      <c r="AI533" s="81">
        <v>73</v>
      </c>
      <c r="AJ533" s="81">
        <v>2</v>
      </c>
      <c r="AK533" s="81">
        <v>51</v>
      </c>
      <c r="AL533" s="81">
        <v>63</v>
      </c>
      <c r="AM533" s="81">
        <v>41</v>
      </c>
      <c r="AN533" s="81">
        <v>-1</v>
      </c>
      <c r="AO533" s="81">
        <v>20</v>
      </c>
      <c r="AP533" s="81">
        <v>39</v>
      </c>
      <c r="AQ533" s="81">
        <v>289</v>
      </c>
      <c r="AR533" s="81">
        <v>-169</v>
      </c>
      <c r="AS533" s="81">
        <v>11</v>
      </c>
      <c r="AT533" s="81">
        <v>58</v>
      </c>
      <c r="AU533" s="81">
        <v>278</v>
      </c>
      <c r="AV533" s="81">
        <v>-72</v>
      </c>
      <c r="AW533" s="81">
        <v>-61</v>
      </c>
      <c r="AX533" s="81">
        <v>-30</v>
      </c>
      <c r="AY533" s="81">
        <v>151</v>
      </c>
      <c r="AZ533" s="81">
        <v>-105</v>
      </c>
      <c r="BA533" s="81">
        <v>73</v>
      </c>
      <c r="BB533" s="81">
        <v>20</v>
      </c>
      <c r="BC533" s="81">
        <v>102</v>
      </c>
      <c r="BD533" s="81">
        <v>-240</v>
      </c>
      <c r="BE533" s="81">
        <v>-116</v>
      </c>
      <c r="BF533" s="81">
        <v>9</v>
      </c>
      <c r="BG533" s="81">
        <v>76</v>
      </c>
      <c r="BH533" s="81">
        <v>0</v>
      </c>
      <c r="BI533" s="81">
        <v>0</v>
      </c>
      <c r="BJ533" s="81">
        <v>0</v>
      </c>
      <c r="BK533" s="81"/>
      <c r="BL533" s="81"/>
      <c r="BM533" s="81"/>
      <c r="BN533" s="81"/>
      <c r="BO533" s="81"/>
      <c r="BS533" s="81">
        <v>0</v>
      </c>
      <c r="BT533" s="81">
        <v>75</v>
      </c>
      <c r="BU533" s="81">
        <v>96</v>
      </c>
      <c r="BV533" s="81">
        <v>-2</v>
      </c>
      <c r="BW533" s="81">
        <v>12</v>
      </c>
      <c r="BX533" s="81">
        <v>-28</v>
      </c>
      <c r="BY533" s="81">
        <v>17</v>
      </c>
      <c r="BZ533" s="81">
        <v>67</v>
      </c>
      <c r="CA533" s="81">
        <v>95</v>
      </c>
      <c r="CB533" s="81">
        <v>157</v>
      </c>
      <c r="CC533" s="64">
        <f t="shared" si="900"/>
        <v>347</v>
      </c>
      <c r="CD533" s="64">
        <f t="shared" si="896"/>
        <v>178</v>
      </c>
      <c r="CE533" s="64">
        <f t="shared" si="897"/>
        <v>-12</v>
      </c>
      <c r="CF533" s="64">
        <f t="shared" si="898"/>
        <v>90</v>
      </c>
      <c r="CG533" s="64">
        <f t="shared" si="899"/>
        <v>-271</v>
      </c>
      <c r="CH533" s="64"/>
      <c r="CI533" s="64"/>
    </row>
    <row r="534" spans="2:87" x14ac:dyDescent="0.2">
      <c r="B534" t="s">
        <v>159</v>
      </c>
      <c r="H534" s="81">
        <v>6</v>
      </c>
      <c r="I534" s="81">
        <v>-27</v>
      </c>
      <c r="J534" s="81">
        <v>12</v>
      </c>
      <c r="K534" s="81">
        <v>46</v>
      </c>
      <c r="L534" s="81">
        <v>2</v>
      </c>
      <c r="M534" s="81">
        <v>184</v>
      </c>
      <c r="N534" s="81">
        <v>-31</v>
      </c>
      <c r="O534" s="81">
        <v>-3</v>
      </c>
      <c r="P534" s="81">
        <v>-33</v>
      </c>
      <c r="Q534" s="81">
        <v>42</v>
      </c>
      <c r="R534" s="81">
        <v>-114</v>
      </c>
      <c r="S534" s="81">
        <v>67</v>
      </c>
      <c r="T534" s="81">
        <v>-27</v>
      </c>
      <c r="U534" s="81">
        <v>102</v>
      </c>
      <c r="V534" s="81">
        <v>123</v>
      </c>
      <c r="W534" s="81">
        <v>130</v>
      </c>
      <c r="X534" s="81">
        <v>134</v>
      </c>
      <c r="Y534" s="81">
        <v>107</v>
      </c>
      <c r="Z534" s="81">
        <v>50</v>
      </c>
      <c r="AA534" s="81">
        <v>222</v>
      </c>
      <c r="AB534" s="81">
        <v>-18</v>
      </c>
      <c r="AC534" s="81">
        <v>432</v>
      </c>
      <c r="AD534" s="81">
        <v>228</v>
      </c>
      <c r="AE534" s="81">
        <v>372</v>
      </c>
      <c r="AF534" s="81">
        <v>61</v>
      </c>
      <c r="AG534" s="81">
        <v>96</v>
      </c>
      <c r="AH534" s="81">
        <v>-62</v>
      </c>
      <c r="AI534" s="81">
        <v>214</v>
      </c>
      <c r="AJ534" s="81">
        <v>707</v>
      </c>
      <c r="AK534" s="81">
        <v>-17</v>
      </c>
      <c r="AL534" s="81">
        <v>354</v>
      </c>
      <c r="AM534" s="81">
        <v>373</v>
      </c>
      <c r="AN534" s="81">
        <v>3154</v>
      </c>
      <c r="AO534" s="81">
        <v>2827</v>
      </c>
      <c r="AP534" s="81">
        <v>457</v>
      </c>
      <c r="AQ534" s="81">
        <v>861</v>
      </c>
      <c r="AR534" s="81">
        <v>980</v>
      </c>
      <c r="AS534" s="81">
        <v>-3995</v>
      </c>
      <c r="AT534" s="81">
        <v>-258</v>
      </c>
      <c r="AU534" s="81">
        <v>2218</v>
      </c>
      <c r="AV534" s="81">
        <v>-1681</v>
      </c>
      <c r="AW534" s="81">
        <v>1482</v>
      </c>
      <c r="AX534" s="81">
        <v>1094</v>
      </c>
      <c r="AY534" s="81">
        <v>2462</v>
      </c>
      <c r="AZ534" s="81">
        <v>763</v>
      </c>
      <c r="BA534" s="81">
        <v>1180</v>
      </c>
      <c r="BB534" s="81">
        <v>998</v>
      </c>
      <c r="BC534" s="81">
        <v>1303</v>
      </c>
      <c r="BD534" s="81">
        <v>334</v>
      </c>
      <c r="BE534" s="81">
        <v>5290</v>
      </c>
      <c r="BF534" s="81">
        <v>78</v>
      </c>
      <c r="BG534" s="81">
        <v>-350</v>
      </c>
      <c r="BH534" s="81">
        <v>-1274</v>
      </c>
      <c r="BI534" s="81">
        <v>-497</v>
      </c>
      <c r="BJ534" s="81">
        <v>572</v>
      </c>
      <c r="BK534" s="81"/>
      <c r="BL534" s="81"/>
      <c r="BM534" s="81"/>
      <c r="BN534" s="81"/>
      <c r="BO534" s="81"/>
      <c r="BS534" s="81">
        <v>27</v>
      </c>
      <c r="BT534" s="81">
        <v>20</v>
      </c>
      <c r="BU534" s="81">
        <v>37</v>
      </c>
      <c r="BV534" s="81">
        <v>152</v>
      </c>
      <c r="BW534" s="81">
        <v>-38</v>
      </c>
      <c r="BX534" s="81">
        <v>328</v>
      </c>
      <c r="BY534" s="81">
        <v>513</v>
      </c>
      <c r="BZ534" s="81">
        <v>1014</v>
      </c>
      <c r="CA534" s="81">
        <v>309</v>
      </c>
      <c r="CB534" s="81">
        <v>1417</v>
      </c>
      <c r="CC534" s="64">
        <f t="shared" si="900"/>
        <v>7299</v>
      </c>
      <c r="CD534" s="64">
        <f t="shared" si="896"/>
        <v>-1055</v>
      </c>
      <c r="CE534" s="64">
        <f t="shared" si="897"/>
        <v>3357</v>
      </c>
      <c r="CF534" s="64">
        <f t="shared" si="898"/>
        <v>4244</v>
      </c>
      <c r="CG534" s="64">
        <f t="shared" si="899"/>
        <v>5352</v>
      </c>
      <c r="CH534" s="64"/>
      <c r="CI534" s="64"/>
    </row>
    <row r="535" spans="2:87" x14ac:dyDescent="0.2">
      <c r="B535" t="s">
        <v>160</v>
      </c>
      <c r="H535" s="81">
        <v>17</v>
      </c>
      <c r="I535" s="81">
        <v>3</v>
      </c>
      <c r="J535" s="81">
        <v>24</v>
      </c>
      <c r="K535" s="81">
        <v>5</v>
      </c>
      <c r="L535" s="81">
        <v>3</v>
      </c>
      <c r="M535" s="81">
        <v>-8</v>
      </c>
      <c r="N535" s="81">
        <v>0</v>
      </c>
      <c r="O535" s="81">
        <v>-55</v>
      </c>
      <c r="P535" s="81">
        <v>0</v>
      </c>
      <c r="Q535" s="81">
        <v>2</v>
      </c>
      <c r="R535" s="81">
        <v>4</v>
      </c>
      <c r="S535" s="81">
        <v>2</v>
      </c>
      <c r="T535" s="81">
        <v>0</v>
      </c>
      <c r="U535" s="81">
        <v>15</v>
      </c>
      <c r="V535" s="81">
        <v>-12</v>
      </c>
      <c r="W535" s="81">
        <v>7</v>
      </c>
      <c r="X535" s="81">
        <v>-10</v>
      </c>
      <c r="Y535" s="81">
        <v>-7</v>
      </c>
      <c r="Z535" s="81">
        <v>-1</v>
      </c>
      <c r="AA535" s="81">
        <v>9</v>
      </c>
      <c r="AB535" s="81">
        <v>-2</v>
      </c>
      <c r="AC535" s="81">
        <v>25</v>
      </c>
      <c r="AD535" s="81">
        <v>-2</v>
      </c>
      <c r="AE535" s="81">
        <v>14</v>
      </c>
      <c r="AF535" s="81">
        <v>-10</v>
      </c>
      <c r="AG535" s="81">
        <v>6</v>
      </c>
      <c r="AH535" s="81">
        <v>16</v>
      </c>
      <c r="AI535" s="81">
        <v>-8</v>
      </c>
      <c r="AJ535" s="81">
        <v>-5</v>
      </c>
      <c r="AK535" s="81">
        <v>0</v>
      </c>
      <c r="AL535" s="81">
        <v>24</v>
      </c>
      <c r="AM535" s="81">
        <v>33</v>
      </c>
      <c r="AN535" s="81">
        <v>-4</v>
      </c>
      <c r="AO535" s="81">
        <v>55</v>
      </c>
      <c r="AP535" s="81">
        <v>31</v>
      </c>
      <c r="AQ535" s="81">
        <v>41</v>
      </c>
      <c r="AR535" s="81">
        <v>-16</v>
      </c>
      <c r="AS535" s="81">
        <v>15</v>
      </c>
      <c r="AT535" s="81">
        <v>112</v>
      </c>
      <c r="AU535" s="81">
        <v>-3</v>
      </c>
      <c r="AV535" s="81">
        <v>6</v>
      </c>
      <c r="AW535" s="81">
        <v>3</v>
      </c>
      <c r="AX535" s="81">
        <v>78</v>
      </c>
      <c r="AY535" s="81">
        <v>100</v>
      </c>
      <c r="AZ535" s="81">
        <v>-52</v>
      </c>
      <c r="BA535" s="81">
        <v>24</v>
      </c>
      <c r="BB535" s="81">
        <v>-7</v>
      </c>
      <c r="BC535" s="81">
        <v>0</v>
      </c>
      <c r="BD535" s="81">
        <v>0</v>
      </c>
      <c r="BE535" s="81">
        <v>0</v>
      </c>
      <c r="BF535" s="81">
        <v>0</v>
      </c>
      <c r="BG535" s="81">
        <v>0</v>
      </c>
      <c r="BH535" s="81">
        <v>0</v>
      </c>
      <c r="BI535" s="81">
        <v>0</v>
      </c>
      <c r="BJ535" s="81">
        <v>0</v>
      </c>
      <c r="BK535" s="81"/>
      <c r="BL535" s="81"/>
      <c r="BM535" s="81"/>
      <c r="BN535" s="81"/>
      <c r="BO535" s="81"/>
      <c r="BS535" s="81">
        <v>1</v>
      </c>
      <c r="BT535" s="81">
        <v>37</v>
      </c>
      <c r="BU535" s="81">
        <v>49</v>
      </c>
      <c r="BV535" s="81">
        <v>-60</v>
      </c>
      <c r="BW535" s="81">
        <v>8</v>
      </c>
      <c r="BX535" s="81">
        <v>10</v>
      </c>
      <c r="BY535" s="81">
        <v>-9</v>
      </c>
      <c r="BZ535" s="81">
        <v>35</v>
      </c>
      <c r="CA535" s="81">
        <v>4</v>
      </c>
      <c r="CB535" s="81">
        <v>53</v>
      </c>
      <c r="CC535" s="64">
        <f t="shared" si="900"/>
        <v>123</v>
      </c>
      <c r="CD535" s="64">
        <f t="shared" si="896"/>
        <v>108</v>
      </c>
      <c r="CE535" s="64">
        <f t="shared" si="897"/>
        <v>187</v>
      </c>
      <c r="CF535" s="64">
        <f t="shared" si="898"/>
        <v>-35</v>
      </c>
      <c r="CG535" s="64">
        <f t="shared" si="899"/>
        <v>0</v>
      </c>
      <c r="CH535" s="64"/>
      <c r="CI535" s="64"/>
    </row>
    <row r="536" spans="2:87" x14ac:dyDescent="0.2">
      <c r="B536" t="s">
        <v>161</v>
      </c>
      <c r="H536" s="81">
        <v>0</v>
      </c>
      <c r="I536" s="81">
        <v>0</v>
      </c>
      <c r="J536" s="81">
        <v>0</v>
      </c>
      <c r="K536" s="81">
        <v>0</v>
      </c>
      <c r="L536" s="81">
        <v>0</v>
      </c>
      <c r="M536" s="81">
        <v>0</v>
      </c>
      <c r="N536" s="81">
        <v>0</v>
      </c>
      <c r="O536" s="81">
        <v>0</v>
      </c>
      <c r="P536" s="81">
        <v>0</v>
      </c>
      <c r="Q536" s="81">
        <v>0</v>
      </c>
      <c r="R536" s="81">
        <v>0</v>
      </c>
      <c r="S536" s="81">
        <v>0</v>
      </c>
      <c r="T536" s="81">
        <v>0</v>
      </c>
      <c r="U536" s="81">
        <v>0</v>
      </c>
      <c r="V536" s="81">
        <v>0</v>
      </c>
      <c r="W536" s="81">
        <v>0</v>
      </c>
      <c r="X536" s="81">
        <v>0</v>
      </c>
      <c r="Y536" s="81">
        <v>0</v>
      </c>
      <c r="Z536" s="81">
        <v>0</v>
      </c>
      <c r="AA536" s="81">
        <v>0</v>
      </c>
      <c r="AB536" s="81">
        <v>0</v>
      </c>
      <c r="AC536" s="81">
        <v>0</v>
      </c>
      <c r="AD536" s="81">
        <v>0</v>
      </c>
      <c r="AE536" s="81">
        <v>0</v>
      </c>
      <c r="AF536" s="81">
        <v>0</v>
      </c>
      <c r="AG536" s="81">
        <v>0</v>
      </c>
      <c r="AH536" s="81">
        <v>0</v>
      </c>
      <c r="AI536" s="81">
        <v>0</v>
      </c>
      <c r="AJ536" s="81">
        <v>0</v>
      </c>
      <c r="AK536" s="81">
        <v>0</v>
      </c>
      <c r="AL536" s="81">
        <v>0</v>
      </c>
      <c r="AM536" s="81">
        <v>0</v>
      </c>
      <c r="AN536" s="81">
        <v>-1190</v>
      </c>
      <c r="AO536" s="81">
        <v>-521</v>
      </c>
      <c r="AP536" s="81">
        <v>-1179</v>
      </c>
      <c r="AQ536" s="81">
        <v>0</v>
      </c>
      <c r="AR536" s="81">
        <v>0</v>
      </c>
      <c r="AS536" s="81">
        <v>0</v>
      </c>
      <c r="AT536" s="81">
        <v>0</v>
      </c>
      <c r="AU536" s="81">
        <v>0</v>
      </c>
      <c r="AV536" s="81">
        <v>0</v>
      </c>
      <c r="AW536" s="81">
        <v>0</v>
      </c>
      <c r="AX536" s="81">
        <v>0</v>
      </c>
      <c r="AY536" s="81">
        <v>0</v>
      </c>
      <c r="AZ536" s="81">
        <v>0</v>
      </c>
      <c r="BA536" s="81">
        <v>0</v>
      </c>
      <c r="BB536" s="81">
        <v>0</v>
      </c>
      <c r="BC536" s="81">
        <v>0</v>
      </c>
      <c r="BD536" s="81">
        <v>0</v>
      </c>
      <c r="BE536" s="81">
        <v>0</v>
      </c>
      <c r="BF536" s="81">
        <v>0</v>
      </c>
      <c r="BG536" s="81">
        <v>0</v>
      </c>
      <c r="BH536" s="81">
        <v>0</v>
      </c>
      <c r="BI536" s="81">
        <v>0</v>
      </c>
      <c r="BJ536" s="81">
        <v>0</v>
      </c>
      <c r="BK536" s="81"/>
      <c r="BL536" s="81"/>
      <c r="BM536" s="81"/>
      <c r="BN536" s="81"/>
      <c r="BO536" s="81"/>
      <c r="BS536" s="81">
        <v>0</v>
      </c>
      <c r="BT536" s="81">
        <v>0</v>
      </c>
      <c r="BU536" s="81">
        <v>0</v>
      </c>
      <c r="BV536" s="81">
        <v>0</v>
      </c>
      <c r="BW536" s="81">
        <v>0</v>
      </c>
      <c r="BX536" s="81">
        <v>0</v>
      </c>
      <c r="BY536" s="81">
        <v>0</v>
      </c>
      <c r="BZ536" s="81">
        <v>0</v>
      </c>
      <c r="CA536" s="81">
        <v>0</v>
      </c>
      <c r="CB536" s="81">
        <v>0</v>
      </c>
      <c r="CC536" s="64">
        <f t="shared" si="900"/>
        <v>-2890</v>
      </c>
      <c r="CD536" s="64">
        <f t="shared" si="896"/>
        <v>0</v>
      </c>
      <c r="CE536" s="64">
        <f t="shared" si="897"/>
        <v>0</v>
      </c>
      <c r="CF536" s="64">
        <f t="shared" si="898"/>
        <v>0</v>
      </c>
      <c r="CG536" s="64">
        <f t="shared" si="899"/>
        <v>0</v>
      </c>
      <c r="CH536" s="64"/>
      <c r="CI536" s="64"/>
    </row>
    <row r="537" spans="2:87" x14ac:dyDescent="0.2">
      <c r="B537" t="s">
        <v>162</v>
      </c>
      <c r="H537" s="81">
        <v>0</v>
      </c>
      <c r="I537" s="81">
        <v>0</v>
      </c>
      <c r="J537" s="81">
        <v>0</v>
      </c>
      <c r="K537" s="81">
        <v>0</v>
      </c>
      <c r="L537" s="81">
        <v>0</v>
      </c>
      <c r="M537" s="81">
        <v>0</v>
      </c>
      <c r="N537" s="81">
        <v>0</v>
      </c>
      <c r="O537" s="81">
        <v>0</v>
      </c>
      <c r="P537" s="81">
        <v>0</v>
      </c>
      <c r="Q537" s="81">
        <v>0</v>
      </c>
      <c r="R537" s="81">
        <v>0</v>
      </c>
      <c r="S537" s="81">
        <v>0</v>
      </c>
      <c r="T537" s="81">
        <v>0</v>
      </c>
      <c r="U537" s="81">
        <v>0</v>
      </c>
      <c r="V537" s="81">
        <v>0</v>
      </c>
      <c r="W537" s="81">
        <v>0</v>
      </c>
      <c r="X537" s="81">
        <v>0</v>
      </c>
      <c r="Y537" s="81">
        <v>0</v>
      </c>
      <c r="Z537" s="81">
        <v>0</v>
      </c>
      <c r="AA537" s="81">
        <v>0</v>
      </c>
      <c r="AB537" s="81">
        <v>0</v>
      </c>
      <c r="AC537" s="81">
        <v>0</v>
      </c>
      <c r="AD537" s="81">
        <v>0</v>
      </c>
      <c r="AE537" s="81">
        <v>0</v>
      </c>
      <c r="AF537" s="81">
        <v>0</v>
      </c>
      <c r="AG537" s="81">
        <v>0</v>
      </c>
      <c r="AH537" s="81">
        <v>0</v>
      </c>
      <c r="AI537" s="81">
        <v>0</v>
      </c>
      <c r="AJ537" s="81">
        <v>0</v>
      </c>
      <c r="AK537" s="81">
        <v>0</v>
      </c>
      <c r="AL537" s="81">
        <v>0</v>
      </c>
      <c r="AM537" s="81">
        <v>0</v>
      </c>
      <c r="AN537" s="81">
        <v>1083</v>
      </c>
      <c r="AO537" s="81">
        <v>556</v>
      </c>
      <c r="AP537" s="81">
        <v>1276</v>
      </c>
      <c r="AQ537" s="81">
        <v>0</v>
      </c>
      <c r="AR537" s="81">
        <v>0</v>
      </c>
      <c r="AS537" s="81">
        <v>0</v>
      </c>
      <c r="AT537" s="81">
        <v>0</v>
      </c>
      <c r="AU537" s="81">
        <v>0</v>
      </c>
      <c r="AV537" s="81">
        <v>0</v>
      </c>
      <c r="AW537" s="81">
        <v>0</v>
      </c>
      <c r="AX537" s="81">
        <v>0</v>
      </c>
      <c r="AY537" s="81">
        <v>0</v>
      </c>
      <c r="AZ537" s="81">
        <v>0</v>
      </c>
      <c r="BA537" s="81">
        <v>0</v>
      </c>
      <c r="BB537" s="81">
        <v>0</v>
      </c>
      <c r="BC537" s="81">
        <v>0</v>
      </c>
      <c r="BD537" s="81">
        <v>0</v>
      </c>
      <c r="BE537" s="81">
        <v>0</v>
      </c>
      <c r="BF537" s="81">
        <v>0</v>
      </c>
      <c r="BG537" s="81">
        <v>0</v>
      </c>
      <c r="BH537" s="81">
        <v>0</v>
      </c>
      <c r="BI537" s="81">
        <v>0</v>
      </c>
      <c r="BJ537" s="81">
        <v>0</v>
      </c>
      <c r="BK537" s="81"/>
      <c r="BL537" s="81"/>
      <c r="BM537" s="81"/>
      <c r="BN537" s="81"/>
      <c r="BO537" s="81"/>
      <c r="BS537" s="81">
        <v>0</v>
      </c>
      <c r="BT537" s="81">
        <v>0</v>
      </c>
      <c r="BU537" s="81">
        <v>0</v>
      </c>
      <c r="BV537" s="81">
        <v>0</v>
      </c>
      <c r="BW537" s="81">
        <v>0</v>
      </c>
      <c r="BX537" s="81">
        <v>0</v>
      </c>
      <c r="BY537" s="81">
        <v>0</v>
      </c>
      <c r="BZ537" s="81">
        <v>0</v>
      </c>
      <c r="CA537" s="81">
        <v>0</v>
      </c>
      <c r="CB537" s="81">
        <v>0</v>
      </c>
      <c r="CC537" s="64">
        <f t="shared" si="900"/>
        <v>2915</v>
      </c>
      <c r="CD537" s="64">
        <f t="shared" si="896"/>
        <v>0</v>
      </c>
      <c r="CE537" s="64">
        <f t="shared" si="897"/>
        <v>0</v>
      </c>
      <c r="CF537" s="64">
        <f t="shared" si="898"/>
        <v>0</v>
      </c>
      <c r="CG537" s="64">
        <f t="shared" si="899"/>
        <v>0</v>
      </c>
      <c r="CH537" s="64"/>
      <c r="CI537" s="64"/>
    </row>
    <row r="538" spans="2:87" ht="13.5" x14ac:dyDescent="0.35">
      <c r="B538" t="s">
        <v>163</v>
      </c>
      <c r="H538" s="82">
        <v>18</v>
      </c>
      <c r="I538" s="82">
        <v>15</v>
      </c>
      <c r="J538" s="82">
        <v>18</v>
      </c>
      <c r="K538" s="82">
        <v>-1</v>
      </c>
      <c r="L538" s="82">
        <v>11</v>
      </c>
      <c r="M538" s="82">
        <v>-4</v>
      </c>
      <c r="N538" s="82">
        <v>20</v>
      </c>
      <c r="O538" s="82">
        <v>16</v>
      </c>
      <c r="P538" s="82">
        <v>84</v>
      </c>
      <c r="Q538" s="82">
        <v>113</v>
      </c>
      <c r="R538" s="82">
        <v>148</v>
      </c>
      <c r="S538" s="82">
        <v>488</v>
      </c>
      <c r="T538" s="82">
        <v>26</v>
      </c>
      <c r="U538" s="82">
        <v>23</v>
      </c>
      <c r="V538" s="82">
        <v>178</v>
      </c>
      <c r="W538" s="82">
        <v>119</v>
      </c>
      <c r="X538" s="82">
        <v>149</v>
      </c>
      <c r="Y538" s="82">
        <v>201</v>
      </c>
      <c r="Z538" s="82">
        <v>564</v>
      </c>
      <c r="AA538" s="82">
        <v>451</v>
      </c>
      <c r="AB538" s="82">
        <v>351</v>
      </c>
      <c r="AC538" s="82">
        <v>295</v>
      </c>
      <c r="AD538" s="82">
        <v>31</v>
      </c>
      <c r="AE538" s="82">
        <v>585</v>
      </c>
      <c r="AF538" s="82">
        <v>222</v>
      </c>
      <c r="AG538" s="82">
        <v>151</v>
      </c>
      <c r="AH538" s="82">
        <v>177</v>
      </c>
      <c r="AI538" s="82">
        <v>2533</v>
      </c>
      <c r="AJ538" s="82">
        <v>-143</v>
      </c>
      <c r="AK538" s="82">
        <v>18</v>
      </c>
      <c r="AL538" s="82">
        <v>226</v>
      </c>
      <c r="AM538" s="82">
        <v>-736</v>
      </c>
      <c r="AN538" s="82">
        <v>184</v>
      </c>
      <c r="AO538" s="82">
        <v>1473</v>
      </c>
      <c r="AP538" s="82">
        <v>321</v>
      </c>
      <c r="AQ538" s="82">
        <v>-763</v>
      </c>
      <c r="AR538" s="82">
        <v>-68</v>
      </c>
      <c r="AS538" s="82">
        <v>-487</v>
      </c>
      <c r="AT538" s="82">
        <v>117</v>
      </c>
      <c r="AU538" s="82">
        <v>-89</v>
      </c>
      <c r="AV538" s="82">
        <v>210</v>
      </c>
      <c r="AW538" s="82">
        <v>-26</v>
      </c>
      <c r="AX538" s="82">
        <v>343</v>
      </c>
      <c r="AY538" s="82">
        <v>414</v>
      </c>
      <c r="AZ538" s="82">
        <v>-5</v>
      </c>
      <c r="BA538" s="82">
        <v>-88</v>
      </c>
      <c r="BB538" s="82">
        <v>540</v>
      </c>
      <c r="BC538" s="82">
        <v>439</v>
      </c>
      <c r="BD538" s="82">
        <v>184</v>
      </c>
      <c r="BE538" s="82">
        <v>-151</v>
      </c>
      <c r="BF538" s="82">
        <v>-72</v>
      </c>
      <c r="BG538" s="82">
        <v>663</v>
      </c>
      <c r="BH538" s="82">
        <v>83</v>
      </c>
      <c r="BI538" s="82">
        <v>708</v>
      </c>
      <c r="BJ538" s="82">
        <v>901</v>
      </c>
      <c r="BK538" s="82"/>
      <c r="BL538" s="82"/>
      <c r="BM538" s="82"/>
      <c r="BN538" s="82"/>
      <c r="BO538" s="82"/>
      <c r="BS538" s="82">
        <v>1</v>
      </c>
      <c r="BT538" s="82">
        <v>16</v>
      </c>
      <c r="BU538" s="82">
        <v>50</v>
      </c>
      <c r="BV538" s="82">
        <v>43</v>
      </c>
      <c r="BW538" s="82">
        <v>833</v>
      </c>
      <c r="BX538" s="82">
        <v>346</v>
      </c>
      <c r="BY538" s="82">
        <v>1365</v>
      </c>
      <c r="BZ538" s="82">
        <v>1262</v>
      </c>
      <c r="CA538" s="82">
        <v>3083</v>
      </c>
      <c r="CB538" s="82">
        <v>-634</v>
      </c>
      <c r="CC538" s="65">
        <f t="shared" si="900"/>
        <v>1215</v>
      </c>
      <c r="CD538" s="65">
        <f t="shared" si="896"/>
        <v>-527</v>
      </c>
      <c r="CE538" s="65">
        <f t="shared" si="897"/>
        <v>941</v>
      </c>
      <c r="CF538" s="65">
        <f t="shared" si="898"/>
        <v>886</v>
      </c>
      <c r="CG538" s="65">
        <f t="shared" si="899"/>
        <v>624</v>
      </c>
      <c r="CH538" s="65"/>
      <c r="CI538" s="65"/>
    </row>
    <row r="539" spans="2:87" s="44" customFormat="1" x14ac:dyDescent="0.2">
      <c r="B539" s="110" t="s">
        <v>164</v>
      </c>
      <c r="H539" s="111">
        <f>SUM(H516:H538)</f>
        <v>345</v>
      </c>
      <c r="I539" s="111">
        <f t="shared" ref="I539:AT539" si="901">SUM(I516:I538)</f>
        <v>129</v>
      </c>
      <c r="J539" s="111">
        <f t="shared" si="901"/>
        <v>565</v>
      </c>
      <c r="K539" s="111">
        <f t="shared" si="901"/>
        <v>510</v>
      </c>
      <c r="L539" s="111">
        <f t="shared" si="901"/>
        <v>441</v>
      </c>
      <c r="M539" s="111">
        <f t="shared" si="901"/>
        <v>240</v>
      </c>
      <c r="N539" s="111">
        <f t="shared" si="901"/>
        <v>250</v>
      </c>
      <c r="O539" s="111">
        <f t="shared" si="901"/>
        <v>681</v>
      </c>
      <c r="P539" s="111">
        <f t="shared" si="901"/>
        <v>719</v>
      </c>
      <c r="Q539" s="111">
        <f t="shared" si="901"/>
        <v>1322</v>
      </c>
      <c r="R539" s="111">
        <f t="shared" si="901"/>
        <v>950</v>
      </c>
      <c r="S539" s="111">
        <f t="shared" si="901"/>
        <v>1231</v>
      </c>
      <c r="T539" s="111">
        <f t="shared" si="901"/>
        <v>1285</v>
      </c>
      <c r="U539" s="111">
        <f t="shared" si="901"/>
        <v>1341</v>
      </c>
      <c r="V539" s="111">
        <f t="shared" si="901"/>
        <v>1248</v>
      </c>
      <c r="W539" s="111">
        <f t="shared" si="901"/>
        <v>3452</v>
      </c>
      <c r="X539" s="111">
        <f t="shared" si="901"/>
        <v>1700</v>
      </c>
      <c r="Y539" s="111">
        <f t="shared" si="901"/>
        <v>1880</v>
      </c>
      <c r="Z539" s="111">
        <f t="shared" si="901"/>
        <v>2192</v>
      </c>
      <c r="AA539" s="111">
        <f t="shared" si="901"/>
        <v>4548</v>
      </c>
      <c r="AB539" s="111">
        <f t="shared" si="901"/>
        <v>3477</v>
      </c>
      <c r="AC539" s="111">
        <f t="shared" si="901"/>
        <v>3665</v>
      </c>
      <c r="AD539" s="111">
        <f t="shared" si="901"/>
        <v>4036</v>
      </c>
      <c r="AE539" s="111">
        <f t="shared" si="901"/>
        <v>4930</v>
      </c>
      <c r="AF539" s="111">
        <f t="shared" si="901"/>
        <v>5058</v>
      </c>
      <c r="AG539" s="111">
        <f t="shared" si="901"/>
        <v>5360</v>
      </c>
      <c r="AH539" s="111">
        <f t="shared" si="901"/>
        <v>6127</v>
      </c>
      <c r="AI539" s="111">
        <f t="shared" si="901"/>
        <v>7671</v>
      </c>
      <c r="AJ539" s="111">
        <f t="shared" si="901"/>
        <v>7860</v>
      </c>
      <c r="AK539" s="111">
        <f t="shared" si="901"/>
        <v>6299</v>
      </c>
      <c r="AL539" s="111">
        <f t="shared" si="901"/>
        <v>7498</v>
      </c>
      <c r="AM539" s="111">
        <f t="shared" si="901"/>
        <v>7618</v>
      </c>
      <c r="AN539" s="111">
        <f t="shared" si="901"/>
        <v>9308</v>
      </c>
      <c r="AO539" s="111">
        <f t="shared" si="901"/>
        <v>8615</v>
      </c>
      <c r="AP539" s="111">
        <f t="shared" si="901"/>
        <v>9307</v>
      </c>
      <c r="AQ539" s="111">
        <f t="shared" si="901"/>
        <v>9083</v>
      </c>
      <c r="AR539" s="111">
        <f t="shared" si="901"/>
        <v>11001</v>
      </c>
      <c r="AS539" s="111">
        <f t="shared" si="901"/>
        <v>3878</v>
      </c>
      <c r="AT539" s="111">
        <f t="shared" si="901"/>
        <v>9828</v>
      </c>
      <c r="AU539" s="111">
        <f t="shared" ref="AU539:AZ539" si="902">SUM(AU516:AU538)</f>
        <v>14040</v>
      </c>
      <c r="AV539" s="111">
        <f t="shared" si="902"/>
        <v>12242</v>
      </c>
      <c r="AW539" s="111">
        <f t="shared" si="902"/>
        <v>13246</v>
      </c>
      <c r="AX539" s="111">
        <f t="shared" si="902"/>
        <v>14091</v>
      </c>
      <c r="AY539" s="111">
        <f t="shared" si="902"/>
        <v>18104</v>
      </c>
      <c r="AZ539" s="111">
        <f t="shared" si="902"/>
        <v>14076</v>
      </c>
      <c r="BA539" s="111">
        <f t="shared" ref="BA539:BI539" si="903">SUM(BA516:BA538)</f>
        <v>12197</v>
      </c>
      <c r="BB539" s="111">
        <f t="shared" si="903"/>
        <v>9691</v>
      </c>
      <c r="BC539" s="111">
        <f t="shared" si="903"/>
        <v>14511</v>
      </c>
      <c r="BD539" s="111">
        <f t="shared" si="903"/>
        <v>13998</v>
      </c>
      <c r="BE539" s="111">
        <f t="shared" si="903"/>
        <v>17309</v>
      </c>
      <c r="BF539" s="111">
        <f t="shared" si="903"/>
        <v>20402</v>
      </c>
      <c r="BG539" s="111">
        <f t="shared" si="903"/>
        <v>19404</v>
      </c>
      <c r="BH539" s="111">
        <f t="shared" si="903"/>
        <v>19246</v>
      </c>
      <c r="BI539" s="111">
        <f t="shared" si="903"/>
        <v>19370</v>
      </c>
      <c r="BJ539" s="111">
        <f t="shared" ref="BJ539" si="904">SUM(BJ516:BJ538)</f>
        <v>24724</v>
      </c>
      <c r="BK539" s="111"/>
      <c r="BL539" s="111"/>
      <c r="BM539" s="111"/>
      <c r="BN539" s="111"/>
      <c r="BO539" s="111"/>
      <c r="BS539" s="111">
        <f>SUM(BS516:BS538)</f>
        <v>155</v>
      </c>
      <c r="BT539" s="111">
        <f t="shared" ref="BT539:CB539" si="905">SUM(BT516:BT538)</f>
        <v>698</v>
      </c>
      <c r="BU539" s="111">
        <f t="shared" si="905"/>
        <v>1549</v>
      </c>
      <c r="BV539" s="111">
        <f t="shared" si="905"/>
        <v>1612</v>
      </c>
      <c r="BW539" s="111">
        <f t="shared" si="905"/>
        <v>4222</v>
      </c>
      <c r="BX539" s="111">
        <f t="shared" si="905"/>
        <v>7326</v>
      </c>
      <c r="BY539" s="111">
        <f t="shared" si="905"/>
        <v>10320</v>
      </c>
      <c r="BZ539" s="111">
        <f t="shared" si="905"/>
        <v>16108</v>
      </c>
      <c r="CA539" s="111">
        <f t="shared" si="905"/>
        <v>24216</v>
      </c>
      <c r="CB539" s="111">
        <f t="shared" si="905"/>
        <v>29274</v>
      </c>
      <c r="CC539" s="111">
        <f t="shared" si="900"/>
        <v>36313</v>
      </c>
      <c r="CD539" s="111">
        <f t="shared" si="896"/>
        <v>38747</v>
      </c>
      <c r="CE539" s="111">
        <f t="shared" si="897"/>
        <v>57683</v>
      </c>
      <c r="CF539" s="111">
        <f t="shared" si="898"/>
        <v>50475</v>
      </c>
      <c r="CG539" s="111">
        <f t="shared" si="899"/>
        <v>71113</v>
      </c>
      <c r="CH539" s="111"/>
      <c r="CI539" s="111"/>
    </row>
    <row r="541" spans="2:87" x14ac:dyDescent="0.2">
      <c r="B541" t="s">
        <v>165</v>
      </c>
      <c r="H541" s="81">
        <v>-153</v>
      </c>
      <c r="I541" s="81">
        <v>-132</v>
      </c>
      <c r="J541" s="81">
        <v>-136</v>
      </c>
      <c r="K541" s="81">
        <v>-185</v>
      </c>
      <c r="L541" s="81">
        <v>-453</v>
      </c>
      <c r="M541" s="81">
        <v>-413</v>
      </c>
      <c r="N541" s="81">
        <v>-171</v>
      </c>
      <c r="O541" s="81">
        <v>-198</v>
      </c>
      <c r="P541" s="81">
        <v>-327</v>
      </c>
      <c r="Q541" s="81">
        <v>-268</v>
      </c>
      <c r="R541" s="81">
        <v>-284</v>
      </c>
      <c r="S541" s="81">
        <v>-483</v>
      </c>
      <c r="T541" s="81">
        <v>-363</v>
      </c>
      <c r="U541" s="81">
        <v>-469</v>
      </c>
      <c r="V541" s="81">
        <v>-482</v>
      </c>
      <c r="W541" s="81">
        <v>-517</v>
      </c>
      <c r="X541" s="81">
        <v>-502</v>
      </c>
      <c r="Y541" s="81">
        <v>-549</v>
      </c>
      <c r="Z541" s="81">
        <v>-780</v>
      </c>
      <c r="AA541" s="81">
        <v>-692</v>
      </c>
      <c r="AB541" s="81">
        <v>-1132</v>
      </c>
      <c r="AC541" s="81">
        <v>-995</v>
      </c>
      <c r="AD541" s="81">
        <v>-1095</v>
      </c>
      <c r="AE541" s="81">
        <v>-1269</v>
      </c>
      <c r="AF541" s="81">
        <v>-1271</v>
      </c>
      <c r="AG541" s="81">
        <v>-1444</v>
      </c>
      <c r="AH541" s="81">
        <v>-1755</v>
      </c>
      <c r="AI541" s="81">
        <v>-2263</v>
      </c>
      <c r="AJ541" s="81">
        <v>-2812</v>
      </c>
      <c r="AK541" s="81">
        <v>-3459</v>
      </c>
      <c r="AL541" s="81">
        <v>-3342</v>
      </c>
      <c r="AM541" s="81">
        <v>-4301</v>
      </c>
      <c r="AN541" s="81">
        <v>-3837</v>
      </c>
      <c r="AO541" s="81">
        <v>-3633</v>
      </c>
      <c r="AP541" s="81">
        <v>-3532</v>
      </c>
      <c r="AQ541" s="81">
        <v>-4100</v>
      </c>
      <c r="AR541" s="81">
        <v>-3558</v>
      </c>
      <c r="AS541" s="81">
        <v>-3255</v>
      </c>
      <c r="AT541" s="81">
        <v>-3689</v>
      </c>
      <c r="AU541" s="81">
        <v>-4613</v>
      </c>
      <c r="AV541" s="81">
        <v>-4272</v>
      </c>
      <c r="AW541" s="81">
        <v>-4612</v>
      </c>
      <c r="AX541" s="81">
        <v>-4313</v>
      </c>
      <c r="AY541" s="81">
        <v>-5370</v>
      </c>
      <c r="AZ541" s="81">
        <f>-5441+126</f>
        <v>-5315</v>
      </c>
      <c r="BA541" s="81">
        <f>-7572+44</f>
        <v>-7528</v>
      </c>
      <c r="BB541" s="81">
        <f>-9375+20</f>
        <v>-9355</v>
      </c>
      <c r="BC541" s="81">
        <f>-9043+55</f>
        <v>-8988</v>
      </c>
      <c r="BD541" s="81">
        <f>-6842+19</f>
        <v>-6823</v>
      </c>
      <c r="BE541" s="81">
        <f>-6216+82</f>
        <v>-6134</v>
      </c>
      <c r="BF541" s="81">
        <f>-6543+47</f>
        <v>-6496</v>
      </c>
      <c r="BG541" s="81">
        <f>-7665+73</f>
        <v>-7592</v>
      </c>
      <c r="BH541" s="81">
        <v>-6400</v>
      </c>
      <c r="BI541" s="81">
        <v>-8173</v>
      </c>
      <c r="BJ541" s="81">
        <v>-8258</v>
      </c>
      <c r="BK541" s="81"/>
      <c r="BL541" s="81"/>
      <c r="BM541" s="81"/>
      <c r="BN541" s="81"/>
      <c r="BO541" s="81"/>
      <c r="BS541" s="81">
        <v>-33</v>
      </c>
      <c r="BT541" s="81">
        <v>-293</v>
      </c>
      <c r="BU541" s="81">
        <v>-606</v>
      </c>
      <c r="BV541" s="81">
        <v>-1235</v>
      </c>
      <c r="BW541" s="81">
        <v>-1362</v>
      </c>
      <c r="BX541" s="81">
        <v>-1831</v>
      </c>
      <c r="BY541" s="81">
        <v>-2523</v>
      </c>
      <c r="BZ541" s="81">
        <v>-4491</v>
      </c>
      <c r="CA541" s="81">
        <v>-6733</v>
      </c>
      <c r="CB541" s="81">
        <v>-13915</v>
      </c>
      <c r="CC541" s="64">
        <f t="shared" si="900"/>
        <v>-15102</v>
      </c>
      <c r="CD541" s="64">
        <f t="shared" ref="CD541:CD549" si="906">+SUM(AR541:AU541)</f>
        <v>-15115</v>
      </c>
      <c r="CE541" s="64">
        <f t="shared" ref="CE541:CE549" si="907">+SUM(AV541:AY541)</f>
        <v>-18567</v>
      </c>
      <c r="CF541" s="64">
        <f t="shared" ref="CF541:CF549" si="908">+SUM(AZ541:BC541)</f>
        <v>-31186</v>
      </c>
      <c r="CG541" s="64">
        <f t="shared" ref="CG541:CG549" si="909">+SUM(BD541:BG541)</f>
        <v>-27045</v>
      </c>
      <c r="CH541" s="64"/>
      <c r="CI541" s="64"/>
    </row>
    <row r="542" spans="2:87" x14ac:dyDescent="0.2">
      <c r="B542" t="s">
        <v>166</v>
      </c>
      <c r="H542" s="81">
        <v>0</v>
      </c>
      <c r="I542" s="81">
        <v>-1892</v>
      </c>
      <c r="J542" s="81">
        <v>-850</v>
      </c>
      <c r="K542" s="81">
        <v>-283</v>
      </c>
      <c r="L542" s="81">
        <v>-876</v>
      </c>
      <c r="M542" s="81">
        <v>-6081</v>
      </c>
      <c r="N542" s="81">
        <v>-1633</v>
      </c>
      <c r="O542" s="81">
        <v>-1717</v>
      </c>
      <c r="P542" s="81">
        <v>-1508</v>
      </c>
      <c r="Q542" s="81">
        <v>-1952</v>
      </c>
      <c r="R542" s="81">
        <v>-904</v>
      </c>
      <c r="S542" s="81">
        <v>-3069</v>
      </c>
      <c r="T542" s="81">
        <v>-2974</v>
      </c>
      <c r="U542" s="81">
        <v>-1508</v>
      </c>
      <c r="V542" s="81">
        <v>-1733</v>
      </c>
      <c r="W542" s="81">
        <v>-2889</v>
      </c>
      <c r="X542" s="81">
        <v>-3055</v>
      </c>
      <c r="Y542" s="81">
        <v>-2505</v>
      </c>
      <c r="Z542" s="81">
        <v>-4773</v>
      </c>
      <c r="AA542" s="81">
        <v>-5605</v>
      </c>
      <c r="AB542" s="81">
        <v>-3126</v>
      </c>
      <c r="AC542" s="81">
        <v>-6509</v>
      </c>
      <c r="AD542" s="81">
        <v>-7733</v>
      </c>
      <c r="AE542" s="81">
        <v>-4973</v>
      </c>
      <c r="AF542" s="81">
        <v>-6992</v>
      </c>
      <c r="AG542" s="81">
        <v>-7145</v>
      </c>
      <c r="AH542" s="81">
        <v>-6273</v>
      </c>
      <c r="AI542" s="81">
        <v>-5272</v>
      </c>
      <c r="AJ542" s="81">
        <v>-4022</v>
      </c>
      <c r="AK542" s="81">
        <v>-4261</v>
      </c>
      <c r="AL542" s="81">
        <v>-4375</v>
      </c>
      <c r="AM542" s="81">
        <v>-1998</v>
      </c>
      <c r="AN542" s="81">
        <v>-6603</v>
      </c>
      <c r="AO542" s="81">
        <v>-5152</v>
      </c>
      <c r="AP542" s="81">
        <v>-7397</v>
      </c>
      <c r="AQ542" s="81">
        <v>-4758</v>
      </c>
      <c r="AR542" s="81">
        <v>-7884</v>
      </c>
      <c r="AS542" s="81">
        <v>-6179</v>
      </c>
      <c r="AT542" s="81">
        <v>-14130</v>
      </c>
      <c r="AU542" s="81">
        <v>-5737</v>
      </c>
      <c r="AV542" s="81">
        <v>-6231</v>
      </c>
      <c r="AW542" s="81">
        <v>-10297</v>
      </c>
      <c r="AX542" s="81">
        <v>-7786</v>
      </c>
      <c r="AY542" s="81">
        <v>-6093</v>
      </c>
      <c r="AZ542" s="81">
        <v>-4068</v>
      </c>
      <c r="BA542" s="81">
        <v>-2220</v>
      </c>
      <c r="BB542" s="81">
        <v>-2597</v>
      </c>
      <c r="BC542" s="81">
        <v>-741</v>
      </c>
      <c r="BD542" s="81">
        <v>-85</v>
      </c>
      <c r="BE542" s="81">
        <v>-717</v>
      </c>
      <c r="BF542" s="81">
        <v>-1008</v>
      </c>
      <c r="BG542" s="81">
        <v>-1171</v>
      </c>
      <c r="BH542" s="81">
        <v>-6887</v>
      </c>
      <c r="BI542" s="81">
        <v>-3289</v>
      </c>
      <c r="BJ542" s="81">
        <v>-4468</v>
      </c>
      <c r="BK542" s="81"/>
      <c r="BL542" s="81"/>
      <c r="BM542" s="81"/>
      <c r="BN542" s="81"/>
      <c r="BO542" s="81"/>
      <c r="BS542" s="81">
        <v>0</v>
      </c>
      <c r="BT542" s="81">
        <v>0</v>
      </c>
      <c r="BU542" s="81">
        <v>-3025</v>
      </c>
      <c r="BV542" s="81">
        <v>-10307</v>
      </c>
      <c r="BW542" s="81">
        <v>-7433</v>
      </c>
      <c r="BX542" s="81">
        <v>-9104</v>
      </c>
      <c r="BY542" s="81">
        <v>-15938</v>
      </c>
      <c r="BZ542" s="81">
        <v>-22341</v>
      </c>
      <c r="CA542" s="81">
        <v>-25682</v>
      </c>
      <c r="CB542" s="81">
        <v>-14656</v>
      </c>
      <c r="CC542" s="64">
        <f t="shared" si="900"/>
        <v>-23910</v>
      </c>
      <c r="CD542" s="64">
        <f t="shared" si="906"/>
        <v>-33930</v>
      </c>
      <c r="CE542" s="64">
        <f t="shared" si="907"/>
        <v>-30407</v>
      </c>
      <c r="CF542" s="64">
        <f t="shared" si="908"/>
        <v>-9626</v>
      </c>
      <c r="CG542" s="64">
        <f t="shared" si="909"/>
        <v>-2981</v>
      </c>
      <c r="CH542" s="64"/>
      <c r="CI542" s="64"/>
    </row>
    <row r="543" spans="2:87" x14ac:dyDescent="0.2">
      <c r="B543" t="s">
        <v>167</v>
      </c>
      <c r="H543" s="81">
        <v>0</v>
      </c>
      <c r="I543" s="81">
        <v>0</v>
      </c>
      <c r="J543" s="81">
        <v>95</v>
      </c>
      <c r="K543" s="81">
        <v>18</v>
      </c>
      <c r="L543" s="81">
        <v>69</v>
      </c>
      <c r="M543" s="81">
        <v>59</v>
      </c>
      <c r="N543" s="81">
        <v>443</v>
      </c>
      <c r="O543" s="81">
        <v>1529</v>
      </c>
      <c r="P543" s="81">
        <v>699</v>
      </c>
      <c r="Q543" s="81">
        <v>576</v>
      </c>
      <c r="R543" s="81">
        <v>1158</v>
      </c>
      <c r="S543" s="81">
        <v>555</v>
      </c>
      <c r="T543" s="81">
        <v>847</v>
      </c>
      <c r="U543" s="81">
        <v>1121</v>
      </c>
      <c r="V543" s="81">
        <v>5423</v>
      </c>
      <c r="W543" s="81">
        <v>1047</v>
      </c>
      <c r="X543" s="81">
        <v>608</v>
      </c>
      <c r="Y543" s="81">
        <v>2118</v>
      </c>
      <c r="Z543" s="81">
        <v>1399</v>
      </c>
      <c r="AA543" s="81">
        <v>2803</v>
      </c>
      <c r="AB543" s="81">
        <v>2013</v>
      </c>
      <c r="AC543" s="81">
        <v>2145</v>
      </c>
      <c r="AD543" s="81">
        <v>5633</v>
      </c>
      <c r="AE543" s="81">
        <v>4103</v>
      </c>
      <c r="AF543" s="81">
        <v>1762</v>
      </c>
      <c r="AG543" s="81">
        <v>2236</v>
      </c>
      <c r="AH543" s="81">
        <v>3651</v>
      </c>
      <c r="AI543" s="81">
        <v>1795</v>
      </c>
      <c r="AJ543" s="81">
        <v>4330</v>
      </c>
      <c r="AK543" s="81">
        <v>4282</v>
      </c>
      <c r="AL543" s="81">
        <v>2492</v>
      </c>
      <c r="AM543" s="81">
        <v>1254</v>
      </c>
      <c r="AN543" s="81">
        <v>1512</v>
      </c>
      <c r="AO543" s="81">
        <v>2944</v>
      </c>
      <c r="AP543" s="81">
        <v>2946</v>
      </c>
      <c r="AQ543" s="81">
        <v>2163</v>
      </c>
      <c r="AR543" s="81">
        <v>2764</v>
      </c>
      <c r="AS543" s="81">
        <v>2617</v>
      </c>
      <c r="AT543" s="81">
        <v>4398</v>
      </c>
      <c r="AU543" s="81">
        <v>2008</v>
      </c>
      <c r="AV543" s="81">
        <v>1650</v>
      </c>
      <c r="AW543" s="81">
        <v>4687</v>
      </c>
      <c r="AX543" s="81">
        <v>8993</v>
      </c>
      <c r="AY543" s="81">
        <v>16340</v>
      </c>
      <c r="AZ543" s="81">
        <v>5065</v>
      </c>
      <c r="BA543" s="81">
        <v>2648</v>
      </c>
      <c r="BB543" s="81">
        <v>1620</v>
      </c>
      <c r="BC543" s="81">
        <v>1750</v>
      </c>
      <c r="BD543" s="81">
        <v>534</v>
      </c>
      <c r="BE543" s="81">
        <v>1816</v>
      </c>
      <c r="BF543" s="81">
        <v>1475</v>
      </c>
      <c r="BG543" s="81">
        <v>2359</v>
      </c>
      <c r="BH543" s="81">
        <v>4625</v>
      </c>
      <c r="BI543" s="81">
        <v>3233</v>
      </c>
      <c r="BJ543" s="81">
        <v>4114</v>
      </c>
      <c r="BK543" s="81"/>
      <c r="BL543" s="81"/>
      <c r="BM543" s="81"/>
      <c r="BN543" s="81"/>
      <c r="BO543" s="81"/>
      <c r="BS543" s="81">
        <v>0</v>
      </c>
      <c r="BT543" s="81">
        <v>0</v>
      </c>
      <c r="BU543" s="81">
        <v>113</v>
      </c>
      <c r="BV543" s="81">
        <v>2100</v>
      </c>
      <c r="BW543" s="81">
        <v>2988</v>
      </c>
      <c r="BX543" s="81">
        <v>8438</v>
      </c>
      <c r="BY543" s="81">
        <v>6928</v>
      </c>
      <c r="BZ543" s="81">
        <v>13894</v>
      </c>
      <c r="CA543" s="81">
        <v>9444</v>
      </c>
      <c r="CB543" s="81">
        <v>12358</v>
      </c>
      <c r="CC543" s="64">
        <f t="shared" si="900"/>
        <v>9565</v>
      </c>
      <c r="CD543" s="64">
        <f t="shared" si="906"/>
        <v>11787</v>
      </c>
      <c r="CE543" s="64">
        <f t="shared" si="907"/>
        <v>31670</v>
      </c>
      <c r="CF543" s="64">
        <f t="shared" si="908"/>
        <v>11083</v>
      </c>
      <c r="CG543" s="64">
        <f t="shared" si="909"/>
        <v>6184</v>
      </c>
      <c r="CH543" s="64"/>
      <c r="CI543" s="64"/>
    </row>
    <row r="544" spans="2:87" x14ac:dyDescent="0.2">
      <c r="B544" t="s">
        <v>168</v>
      </c>
      <c r="H544" s="81">
        <v>0</v>
      </c>
      <c r="I544" s="81">
        <v>0</v>
      </c>
      <c r="J544" s="81">
        <v>90</v>
      </c>
      <c r="K544" s="81">
        <v>426</v>
      </c>
      <c r="L544" s="81">
        <v>567</v>
      </c>
      <c r="M544" s="81">
        <v>539</v>
      </c>
      <c r="N544" s="81">
        <v>1307</v>
      </c>
      <c r="O544" s="81">
        <v>920</v>
      </c>
      <c r="P544" s="81">
        <v>903</v>
      </c>
      <c r="Q544" s="81">
        <v>1271</v>
      </c>
      <c r="R544" s="81">
        <v>780</v>
      </c>
      <c r="S544" s="81">
        <v>609</v>
      </c>
      <c r="T544" s="81">
        <v>619</v>
      </c>
      <c r="U544" s="81">
        <v>455</v>
      </c>
      <c r="V544" s="81">
        <v>636</v>
      </c>
      <c r="W544" s="81">
        <v>199</v>
      </c>
      <c r="X544" s="81">
        <v>339</v>
      </c>
      <c r="Y544" s="81">
        <v>376</v>
      </c>
      <c r="Z544" s="81">
        <v>848</v>
      </c>
      <c r="AA544" s="81">
        <v>747</v>
      </c>
      <c r="AB544" s="81">
        <v>537</v>
      </c>
      <c r="AC544" s="81">
        <v>366</v>
      </c>
      <c r="AD544" s="81">
        <v>131</v>
      </c>
      <c r="AE544" s="81">
        <v>227</v>
      </c>
      <c r="AF544" s="81">
        <v>599</v>
      </c>
      <c r="AG544" s="81">
        <v>899</v>
      </c>
      <c r="AH544" s="81">
        <v>730</v>
      </c>
      <c r="AI544" s="81">
        <v>760</v>
      </c>
      <c r="AJ544" s="81">
        <v>1267</v>
      </c>
      <c r="AK544" s="81">
        <v>1071</v>
      </c>
      <c r="AL544" s="81">
        <v>1053</v>
      </c>
      <c r="AM544" s="81">
        <v>1381</v>
      </c>
      <c r="AN544" s="81">
        <v>2210</v>
      </c>
      <c r="AO544" s="81">
        <v>1895</v>
      </c>
      <c r="AP544" s="81">
        <v>2943</v>
      </c>
      <c r="AQ544" s="81">
        <v>3104</v>
      </c>
      <c r="AR544" s="81">
        <v>4644</v>
      </c>
      <c r="AS544" s="81">
        <v>3224</v>
      </c>
      <c r="AT544" s="81">
        <v>2857</v>
      </c>
      <c r="AU544" s="81">
        <v>3260</v>
      </c>
      <c r="AV544" s="81">
        <v>3981</v>
      </c>
      <c r="AW544" s="81">
        <v>2347</v>
      </c>
      <c r="AX544" s="81">
        <v>2991</v>
      </c>
      <c r="AY544" s="81">
        <v>1598</v>
      </c>
      <c r="AZ544" s="81">
        <v>402</v>
      </c>
      <c r="BA544" s="81">
        <v>511</v>
      </c>
      <c r="BB544" s="81">
        <v>649</v>
      </c>
      <c r="BC544" s="81">
        <v>513</v>
      </c>
      <c r="BD544" s="81">
        <v>0</v>
      </c>
      <c r="BE544" s="81">
        <v>0</v>
      </c>
      <c r="BF544" s="81">
        <v>0</v>
      </c>
      <c r="BG544" s="81">
        <v>0</v>
      </c>
      <c r="BH544" s="81">
        <v>0</v>
      </c>
      <c r="BI544" s="81">
        <v>0</v>
      </c>
      <c r="BJ544" s="81">
        <v>0</v>
      </c>
      <c r="BK544" s="81"/>
      <c r="BL544" s="81"/>
      <c r="BM544" s="81"/>
      <c r="BN544" s="81"/>
      <c r="BO544" s="81"/>
      <c r="BS544" s="81">
        <v>0</v>
      </c>
      <c r="BT544" s="81">
        <v>0</v>
      </c>
      <c r="BU544" s="81">
        <v>516</v>
      </c>
      <c r="BV544" s="81">
        <v>3333</v>
      </c>
      <c r="BW544" s="81">
        <v>3563</v>
      </c>
      <c r="BX544" s="81">
        <v>1909</v>
      </c>
      <c r="BY544" s="81">
        <v>2310</v>
      </c>
      <c r="BZ544" s="81">
        <v>1261</v>
      </c>
      <c r="CA544" s="81">
        <v>2988</v>
      </c>
      <c r="CB544" s="81">
        <v>4772</v>
      </c>
      <c r="CC544" s="64">
        <f t="shared" si="900"/>
        <v>10152</v>
      </c>
      <c r="CD544" s="64">
        <f t="shared" si="906"/>
        <v>13985</v>
      </c>
      <c r="CE544" s="64">
        <f t="shared" si="907"/>
        <v>10917</v>
      </c>
      <c r="CF544" s="64">
        <f t="shared" si="908"/>
        <v>2075</v>
      </c>
      <c r="CG544" s="64">
        <f t="shared" si="909"/>
        <v>0</v>
      </c>
      <c r="CH544" s="64"/>
      <c r="CI544" s="64"/>
    </row>
    <row r="545" spans="2:87" x14ac:dyDescent="0.2">
      <c r="B545" t="s">
        <v>169</v>
      </c>
      <c r="H545" s="81"/>
      <c r="I545" s="81"/>
      <c r="J545" s="81"/>
      <c r="K545" s="81"/>
      <c r="L545" s="81"/>
      <c r="M545" s="81"/>
      <c r="N545" s="81"/>
      <c r="O545" s="81"/>
      <c r="P545" s="81"/>
      <c r="Q545" s="81"/>
      <c r="R545" s="81"/>
      <c r="S545" s="81"/>
      <c r="T545" s="81"/>
      <c r="U545" s="81"/>
      <c r="V545" s="81"/>
      <c r="W545" s="81"/>
      <c r="X545" s="81"/>
      <c r="Y545" s="81"/>
      <c r="Z545" s="81"/>
      <c r="AA545" s="81"/>
      <c r="AB545" s="81"/>
      <c r="AC545" s="81"/>
      <c r="AD545" s="81"/>
      <c r="AE545" s="81"/>
      <c r="AF545" s="81">
        <v>0</v>
      </c>
      <c r="AG545" s="81">
        <v>0</v>
      </c>
      <c r="AH545" s="81">
        <v>0</v>
      </c>
      <c r="AI545" s="81">
        <v>0</v>
      </c>
      <c r="AJ545" s="81">
        <v>0</v>
      </c>
      <c r="AK545" s="81">
        <v>0</v>
      </c>
      <c r="AL545" s="81">
        <v>0</v>
      </c>
      <c r="AM545" s="81">
        <v>0</v>
      </c>
      <c r="AN545" s="81">
        <v>0</v>
      </c>
      <c r="AO545" s="81">
        <v>0</v>
      </c>
      <c r="AP545" s="81">
        <v>0</v>
      </c>
      <c r="AQ545" s="81">
        <v>0</v>
      </c>
      <c r="AR545" s="81">
        <v>0</v>
      </c>
      <c r="AS545" s="81">
        <v>0</v>
      </c>
      <c r="AT545" s="81">
        <v>-6020</v>
      </c>
      <c r="AU545" s="81">
        <v>-59</v>
      </c>
      <c r="AV545" s="81">
        <v>0</v>
      </c>
      <c r="AW545" s="81">
        <v>0</v>
      </c>
      <c r="AX545" s="81">
        <v>-27</v>
      </c>
      <c r="AY545" s="81">
        <v>-2</v>
      </c>
      <c r="AZ545" s="81">
        <v>0</v>
      </c>
      <c r="BA545" s="81">
        <v>0</v>
      </c>
      <c r="BB545" s="81">
        <v>0</v>
      </c>
      <c r="BC545" s="81">
        <v>0</v>
      </c>
      <c r="BD545" s="81">
        <v>0</v>
      </c>
      <c r="BE545" s="81">
        <v>0</v>
      </c>
      <c r="BF545" s="81">
        <v>0</v>
      </c>
      <c r="BG545" s="81">
        <v>0</v>
      </c>
      <c r="BH545" s="81">
        <v>0</v>
      </c>
      <c r="BI545" s="81">
        <v>0</v>
      </c>
      <c r="BJ545" s="81">
        <v>0</v>
      </c>
      <c r="BK545" s="81"/>
      <c r="BL545" s="81"/>
      <c r="BM545" s="81"/>
      <c r="BN545" s="81"/>
      <c r="BO545" s="81"/>
      <c r="BS545" s="81">
        <v>0</v>
      </c>
      <c r="BT545" s="81">
        <v>0</v>
      </c>
      <c r="BU545" s="81">
        <v>0</v>
      </c>
      <c r="BV545" s="81">
        <v>0</v>
      </c>
      <c r="BW545" s="81">
        <v>0</v>
      </c>
      <c r="BX545" s="81">
        <v>0</v>
      </c>
      <c r="BY545" s="81">
        <v>0</v>
      </c>
      <c r="BZ545" s="81">
        <v>0</v>
      </c>
      <c r="CA545" s="81">
        <v>0</v>
      </c>
      <c r="CB545" s="81">
        <v>0</v>
      </c>
      <c r="CC545" s="64">
        <f t="shared" si="900"/>
        <v>0</v>
      </c>
      <c r="CD545" s="64">
        <f t="shared" si="906"/>
        <v>-6079</v>
      </c>
      <c r="CE545" s="64">
        <f t="shared" si="907"/>
        <v>-29</v>
      </c>
      <c r="CF545" s="64">
        <f t="shared" si="908"/>
        <v>0</v>
      </c>
      <c r="CG545" s="64">
        <f t="shared" si="909"/>
        <v>0</v>
      </c>
      <c r="CH545" s="64"/>
      <c r="CI545" s="64"/>
    </row>
    <row r="546" spans="2:87" x14ac:dyDescent="0.2">
      <c r="B546" t="s">
        <v>170</v>
      </c>
      <c r="H546" s="81">
        <v>-1</v>
      </c>
      <c r="I546" s="81">
        <v>-3</v>
      </c>
      <c r="J546" s="81">
        <v>-1</v>
      </c>
      <c r="K546" s="81">
        <v>-19</v>
      </c>
      <c r="L546" s="81">
        <v>-25</v>
      </c>
      <c r="M546" s="81">
        <v>-550</v>
      </c>
      <c r="N546" s="81">
        <v>-336</v>
      </c>
      <c r="O546" s="81">
        <v>0</v>
      </c>
      <c r="P546" s="81">
        <v>-99</v>
      </c>
      <c r="Q546" s="81">
        <v>-122</v>
      </c>
      <c r="R546" s="81">
        <v>-16</v>
      </c>
      <c r="S546" s="81">
        <v>-131</v>
      </c>
      <c r="T546" s="81">
        <v>0</v>
      </c>
      <c r="U546" s="81">
        <v>-19</v>
      </c>
      <c r="V546" s="81">
        <v>-735</v>
      </c>
      <c r="W546" s="81">
        <v>-4221</v>
      </c>
      <c r="X546" s="81">
        <v>-257</v>
      </c>
      <c r="Y546" s="81">
        <v>-25</v>
      </c>
      <c r="Z546" s="81">
        <v>-27</v>
      </c>
      <c r="AA546" s="81">
        <v>-4</v>
      </c>
      <c r="AB546" s="81">
        <v>-1</v>
      </c>
      <c r="AC546" s="81">
        <v>-19</v>
      </c>
      <c r="AD546" s="81">
        <v>-61</v>
      </c>
      <c r="AE546" s="81">
        <v>-42</v>
      </c>
      <c r="AF546" s="81">
        <v>0</v>
      </c>
      <c r="AG546" s="81">
        <v>-8</v>
      </c>
      <c r="AH546" s="81">
        <v>-98</v>
      </c>
      <c r="AI546" s="81">
        <v>-16</v>
      </c>
      <c r="AJ546" s="81">
        <v>-49</v>
      </c>
      <c r="AK546" s="81">
        <v>-16</v>
      </c>
      <c r="AL546" s="81">
        <v>-72</v>
      </c>
      <c r="AM546" s="81">
        <v>0</v>
      </c>
      <c r="AN546" s="81">
        <v>0</v>
      </c>
      <c r="AO546" s="81">
        <v>0</v>
      </c>
      <c r="AP546" s="81">
        <v>0</v>
      </c>
      <c r="AQ546" s="81">
        <v>-445</v>
      </c>
      <c r="AR546" s="81">
        <v>-33</v>
      </c>
      <c r="AS546" s="81">
        <v>-339</v>
      </c>
      <c r="AT546" s="81">
        <v>-12</v>
      </c>
      <c r="AU546" s="81">
        <v>-5</v>
      </c>
      <c r="AV546" s="81">
        <v>0</v>
      </c>
      <c r="AW546" s="81">
        <v>-259</v>
      </c>
      <c r="AX546" s="81">
        <v>-71</v>
      </c>
      <c r="AY546" s="81">
        <v>-521</v>
      </c>
      <c r="AZ546" s="81">
        <v>-853</v>
      </c>
      <c r="BA546" s="81">
        <v>-363</v>
      </c>
      <c r="BB546" s="81">
        <v>-34</v>
      </c>
      <c r="BC546" s="81">
        <v>-62</v>
      </c>
      <c r="BD546" s="81">
        <v>-444</v>
      </c>
      <c r="BE546" s="81">
        <v>-83</v>
      </c>
      <c r="BF546" s="81">
        <v>-38</v>
      </c>
      <c r="BG546" s="81">
        <v>-64</v>
      </c>
      <c r="BH546" s="81">
        <v>-72</v>
      </c>
      <c r="BI546" s="81">
        <v>-57</v>
      </c>
      <c r="BJ546" s="81">
        <v>-132</v>
      </c>
      <c r="BK546" s="81"/>
      <c r="BL546" s="81"/>
      <c r="BM546" s="81"/>
      <c r="BN546" s="81"/>
      <c r="BO546" s="81"/>
      <c r="BS546" s="81">
        <v>3</v>
      </c>
      <c r="BT546" s="81">
        <v>-22</v>
      </c>
      <c r="BU546" s="81">
        <v>-24</v>
      </c>
      <c r="BV546" s="81">
        <v>-911</v>
      </c>
      <c r="BW546" s="81">
        <v>-368</v>
      </c>
      <c r="BX546" s="81">
        <v>-4975</v>
      </c>
      <c r="BY546" s="81">
        <v>-313</v>
      </c>
      <c r="BZ546" s="81">
        <v>-123</v>
      </c>
      <c r="CA546" s="81">
        <v>-122</v>
      </c>
      <c r="CB546" s="81">
        <v>-137</v>
      </c>
      <c r="CC546" s="64">
        <f t="shared" si="900"/>
        <v>-445</v>
      </c>
      <c r="CD546" s="64">
        <f t="shared" si="906"/>
        <v>-389</v>
      </c>
      <c r="CE546" s="64">
        <f t="shared" si="907"/>
        <v>-851</v>
      </c>
      <c r="CF546" s="64">
        <f t="shared" si="908"/>
        <v>-1312</v>
      </c>
      <c r="CG546" s="64">
        <f t="shared" si="909"/>
        <v>-629</v>
      </c>
      <c r="CH546" s="64"/>
      <c r="CI546" s="64"/>
    </row>
    <row r="547" spans="2:87" x14ac:dyDescent="0.2">
      <c r="B547" t="s">
        <v>171</v>
      </c>
      <c r="H547" s="81">
        <v>1</v>
      </c>
      <c r="I547" s="81">
        <v>-4</v>
      </c>
      <c r="J547" s="81">
        <v>8</v>
      </c>
      <c r="K547" s="81">
        <v>1</v>
      </c>
      <c r="L547" s="81">
        <v>-1</v>
      </c>
      <c r="M547" s="81">
        <v>-2</v>
      </c>
      <c r="N547" s="81">
        <v>1</v>
      </c>
      <c r="O547" s="81">
        <v>0</v>
      </c>
      <c r="P547" s="81">
        <v>0</v>
      </c>
      <c r="Q547" s="81">
        <v>3</v>
      </c>
      <c r="R547" s="81">
        <v>1</v>
      </c>
      <c r="S547" s="81">
        <v>-15</v>
      </c>
      <c r="T547" s="81">
        <v>0</v>
      </c>
      <c r="U547" s="81">
        <v>-2</v>
      </c>
      <c r="V547" s="81">
        <v>-111</v>
      </c>
      <c r="W547" s="81">
        <v>-235</v>
      </c>
      <c r="X547" s="81">
        <v>23</v>
      </c>
      <c r="Y547" s="81">
        <v>21</v>
      </c>
      <c r="Z547" s="81">
        <v>33</v>
      </c>
      <c r="AA547" s="81">
        <v>25</v>
      </c>
      <c r="AB547" s="81">
        <v>33</v>
      </c>
      <c r="AC547" s="81">
        <v>41</v>
      </c>
      <c r="AD547" s="81">
        <v>8</v>
      </c>
      <c r="AE547" s="81">
        <v>-21</v>
      </c>
      <c r="AF547" s="81">
        <v>11</v>
      </c>
      <c r="AG547" s="81">
        <v>22</v>
      </c>
      <c r="AH547" s="81">
        <v>31</v>
      </c>
      <c r="AI547" s="81">
        <v>3</v>
      </c>
      <c r="AJ547" s="81">
        <v>0</v>
      </c>
      <c r="AK547" s="81">
        <v>0</v>
      </c>
      <c r="AL547" s="81">
        <v>0</v>
      </c>
      <c r="AM547" s="81">
        <v>0</v>
      </c>
      <c r="AN547" s="81">
        <v>0</v>
      </c>
      <c r="AO547" s="81">
        <v>0</v>
      </c>
      <c r="AP547" s="81">
        <v>0</v>
      </c>
      <c r="AQ547" s="81">
        <v>0</v>
      </c>
      <c r="AR547" s="81">
        <v>0</v>
      </c>
      <c r="AS547" s="81">
        <v>0</v>
      </c>
      <c r="AT547" s="81">
        <v>0</v>
      </c>
      <c r="AU547" s="81">
        <v>0</v>
      </c>
      <c r="AV547" s="81">
        <v>0</v>
      </c>
      <c r="AW547" s="81">
        <v>0</v>
      </c>
      <c r="AX547" s="81">
        <v>0</v>
      </c>
      <c r="AY547" s="81">
        <v>0</v>
      </c>
      <c r="AZ547" s="81">
        <v>0</v>
      </c>
      <c r="BA547" s="81">
        <v>0</v>
      </c>
      <c r="BB547" s="81">
        <v>0</v>
      </c>
      <c r="BC547" s="81">
        <v>0</v>
      </c>
      <c r="BD547" s="81">
        <v>0</v>
      </c>
      <c r="BE547" s="81">
        <v>0</v>
      </c>
      <c r="BF547" s="81">
        <v>0</v>
      </c>
      <c r="BG547" s="81">
        <v>0</v>
      </c>
      <c r="BH547" s="81">
        <v>0</v>
      </c>
      <c r="BI547" s="81">
        <v>0</v>
      </c>
      <c r="BJ547" s="81">
        <v>0</v>
      </c>
      <c r="BK547" s="81"/>
      <c r="BL547" s="81"/>
      <c r="BM547" s="81"/>
      <c r="BN547" s="81"/>
      <c r="BO547" s="81"/>
      <c r="BS547" s="81">
        <v>-32</v>
      </c>
      <c r="BT547" s="81">
        <v>-9</v>
      </c>
      <c r="BU547" s="81">
        <v>6</v>
      </c>
      <c r="BV547" s="81">
        <v>-2</v>
      </c>
      <c r="BW547" s="81">
        <v>-11</v>
      </c>
      <c r="BX547" s="81">
        <v>-348</v>
      </c>
      <c r="BY547" s="81">
        <v>102</v>
      </c>
      <c r="BZ547" s="81">
        <v>61</v>
      </c>
      <c r="CA547" s="81">
        <v>67</v>
      </c>
      <c r="CB547" s="81">
        <v>0</v>
      </c>
      <c r="CC547" s="64">
        <f t="shared" si="900"/>
        <v>0</v>
      </c>
      <c r="CD547" s="64">
        <f t="shared" si="906"/>
        <v>0</v>
      </c>
      <c r="CE547" s="64">
        <f t="shared" si="907"/>
        <v>0</v>
      </c>
      <c r="CF547" s="64">
        <f t="shared" si="908"/>
        <v>0</v>
      </c>
      <c r="CG547" s="64">
        <f t="shared" si="909"/>
        <v>0</v>
      </c>
      <c r="CH547" s="64"/>
      <c r="CI547" s="64"/>
    </row>
    <row r="548" spans="2:87" ht="13.5" x14ac:dyDescent="0.35">
      <c r="B548" t="s">
        <v>33</v>
      </c>
      <c r="H548" s="82">
        <v>0</v>
      </c>
      <c r="I548" s="82">
        <v>-1</v>
      </c>
      <c r="J548" s="82">
        <v>-1</v>
      </c>
      <c r="K548" s="82">
        <v>-1</v>
      </c>
      <c r="L548" s="82">
        <v>-1</v>
      </c>
      <c r="M548" s="82">
        <v>-2</v>
      </c>
      <c r="N548" s="82">
        <v>0</v>
      </c>
      <c r="O548" s="82">
        <v>1</v>
      </c>
      <c r="P548" s="82">
        <v>6</v>
      </c>
      <c r="Q548" s="82">
        <v>-6</v>
      </c>
      <c r="R548" s="82">
        <v>-1</v>
      </c>
      <c r="S548" s="82">
        <v>0</v>
      </c>
      <c r="T548" s="82">
        <v>-1</v>
      </c>
      <c r="U548" s="82">
        <v>0</v>
      </c>
      <c r="V548" s="82">
        <v>-1</v>
      </c>
      <c r="W548" s="82">
        <v>0</v>
      </c>
      <c r="X548" s="82">
        <v>0</v>
      </c>
      <c r="Y548" s="82">
        <v>0</v>
      </c>
      <c r="Z548" s="82">
        <v>0</v>
      </c>
      <c r="AA548" s="82">
        <v>0</v>
      </c>
      <c r="AB548" s="82">
        <v>0</v>
      </c>
      <c r="AC548" s="82">
        <v>0</v>
      </c>
      <c r="AD548" s="82">
        <v>0</v>
      </c>
      <c r="AE548" s="82">
        <v>0</v>
      </c>
      <c r="AF548" s="82">
        <v>0</v>
      </c>
      <c r="AG548" s="82">
        <v>0</v>
      </c>
      <c r="AH548" s="82">
        <v>0</v>
      </c>
      <c r="AI548" s="82">
        <v>0</v>
      </c>
      <c r="AJ548" s="82">
        <v>-1</v>
      </c>
      <c r="AK548" s="82">
        <v>0</v>
      </c>
      <c r="AL548" s="82">
        <v>-3</v>
      </c>
      <c r="AM548" s="82">
        <v>-21</v>
      </c>
      <c r="AN548" s="82">
        <v>-50</v>
      </c>
      <c r="AO548" s="82">
        <v>-64</v>
      </c>
      <c r="AP548" s="82">
        <v>-10</v>
      </c>
      <c r="AQ548" s="82">
        <v>0</v>
      </c>
      <c r="AR548" s="82">
        <v>-42</v>
      </c>
      <c r="AS548" s="82">
        <v>-245</v>
      </c>
      <c r="AT548" s="82">
        <v>-3</v>
      </c>
      <c r="AU548" s="82">
        <v>-27</v>
      </c>
      <c r="AV548" s="82">
        <v>-2</v>
      </c>
      <c r="AW548" s="82">
        <v>-61</v>
      </c>
      <c r="AX548" s="82">
        <v>-117</v>
      </c>
      <c r="AY548" s="82">
        <v>-123</v>
      </c>
      <c r="AZ548" s="82">
        <v>-10</v>
      </c>
      <c r="BA548" s="82">
        <v>-7</v>
      </c>
      <c r="BB548" s="82">
        <v>16</v>
      </c>
      <c r="BC548" s="82">
        <v>-3</v>
      </c>
      <c r="BD548" s="82">
        <v>75</v>
      </c>
      <c r="BE548" s="82">
        <v>-85</v>
      </c>
      <c r="BF548" s="82">
        <v>-10</v>
      </c>
      <c r="BG548" s="82">
        <v>-4</v>
      </c>
      <c r="BH548" s="82">
        <v>0</v>
      </c>
      <c r="BI548" s="82">
        <v>-12</v>
      </c>
      <c r="BJ548" s="82">
        <v>124</v>
      </c>
      <c r="BK548" s="82"/>
      <c r="BL548" s="82"/>
      <c r="BM548" s="82"/>
      <c r="BN548" s="82"/>
      <c r="BO548" s="82"/>
      <c r="BS548" s="82">
        <v>0</v>
      </c>
      <c r="BT548" s="82">
        <v>0</v>
      </c>
      <c r="BU548" s="82">
        <v>-3</v>
      </c>
      <c r="BV548" s="82">
        <v>-2</v>
      </c>
      <c r="BW548" s="82">
        <v>-1</v>
      </c>
      <c r="BX548" s="82">
        <v>-2</v>
      </c>
      <c r="BY548" s="82">
        <v>0</v>
      </c>
      <c r="BZ548" s="82">
        <v>0</v>
      </c>
      <c r="CA548" s="82">
        <v>0</v>
      </c>
      <c r="CB548" s="82">
        <v>-25</v>
      </c>
      <c r="CC548" s="65">
        <f t="shared" si="900"/>
        <v>-124</v>
      </c>
      <c r="CD548" s="65">
        <f t="shared" si="906"/>
        <v>-317</v>
      </c>
      <c r="CE548" s="65">
        <f t="shared" si="907"/>
        <v>-303</v>
      </c>
      <c r="CF548" s="65">
        <f t="shared" si="908"/>
        <v>-4</v>
      </c>
      <c r="CG548" s="65">
        <f t="shared" si="909"/>
        <v>-24</v>
      </c>
      <c r="CH548" s="65"/>
      <c r="CI548" s="65"/>
    </row>
    <row r="549" spans="2:87" s="44" customFormat="1" x14ac:dyDescent="0.2">
      <c r="B549" s="110" t="s">
        <v>172</v>
      </c>
      <c r="H549" s="111">
        <f>SUM(H541:H548)</f>
        <v>-153</v>
      </c>
      <c r="I549" s="111">
        <f t="shared" ref="I549:AT549" si="910">SUM(I541:I548)</f>
        <v>-2032</v>
      </c>
      <c r="J549" s="111">
        <f t="shared" si="910"/>
        <v>-795</v>
      </c>
      <c r="K549" s="111">
        <f t="shared" si="910"/>
        <v>-43</v>
      </c>
      <c r="L549" s="111">
        <f t="shared" si="910"/>
        <v>-720</v>
      </c>
      <c r="M549" s="111">
        <f t="shared" si="910"/>
        <v>-6450</v>
      </c>
      <c r="N549" s="111">
        <f t="shared" si="910"/>
        <v>-389</v>
      </c>
      <c r="O549" s="111">
        <f t="shared" si="910"/>
        <v>535</v>
      </c>
      <c r="P549" s="111">
        <f t="shared" si="910"/>
        <v>-326</v>
      </c>
      <c r="Q549" s="111">
        <f t="shared" si="910"/>
        <v>-498</v>
      </c>
      <c r="R549" s="111">
        <f t="shared" si="910"/>
        <v>734</v>
      </c>
      <c r="S549" s="111">
        <f t="shared" si="910"/>
        <v>-2534</v>
      </c>
      <c r="T549" s="111">
        <f t="shared" si="910"/>
        <v>-1872</v>
      </c>
      <c r="U549" s="111">
        <f t="shared" si="910"/>
        <v>-422</v>
      </c>
      <c r="V549" s="111">
        <f t="shared" si="910"/>
        <v>2997</v>
      </c>
      <c r="W549" s="111">
        <f t="shared" si="910"/>
        <v>-6616</v>
      </c>
      <c r="X549" s="111">
        <f t="shared" si="910"/>
        <v>-2844</v>
      </c>
      <c r="Y549" s="111">
        <f t="shared" si="910"/>
        <v>-564</v>
      </c>
      <c r="Z549" s="111">
        <f t="shared" si="910"/>
        <v>-3300</v>
      </c>
      <c r="AA549" s="111">
        <f t="shared" si="910"/>
        <v>-2726</v>
      </c>
      <c r="AB549" s="111">
        <f t="shared" si="910"/>
        <v>-1676</v>
      </c>
      <c r="AC549" s="111">
        <f t="shared" si="910"/>
        <v>-4971</v>
      </c>
      <c r="AD549" s="111">
        <f t="shared" si="910"/>
        <v>-3117</v>
      </c>
      <c r="AE549" s="111">
        <f t="shared" si="910"/>
        <v>-1975</v>
      </c>
      <c r="AF549" s="111">
        <f t="shared" si="910"/>
        <v>-5891</v>
      </c>
      <c r="AG549" s="111">
        <f t="shared" si="910"/>
        <v>-5440</v>
      </c>
      <c r="AH549" s="111">
        <f t="shared" si="910"/>
        <v>-3714</v>
      </c>
      <c r="AI549" s="111">
        <f t="shared" si="910"/>
        <v>-4993</v>
      </c>
      <c r="AJ549" s="111">
        <f t="shared" si="910"/>
        <v>-1287</v>
      </c>
      <c r="AK549" s="111">
        <f t="shared" si="910"/>
        <v>-2383</v>
      </c>
      <c r="AL549" s="111">
        <f t="shared" si="910"/>
        <v>-4247</v>
      </c>
      <c r="AM549" s="111">
        <f t="shared" si="910"/>
        <v>-3685</v>
      </c>
      <c r="AN549" s="111">
        <f t="shared" si="910"/>
        <v>-6768</v>
      </c>
      <c r="AO549" s="111">
        <f t="shared" si="910"/>
        <v>-4010</v>
      </c>
      <c r="AP549" s="111">
        <f t="shared" si="910"/>
        <v>-5050</v>
      </c>
      <c r="AQ549" s="111">
        <f t="shared" si="910"/>
        <v>-4036</v>
      </c>
      <c r="AR549" s="111">
        <f t="shared" si="910"/>
        <v>-4109</v>
      </c>
      <c r="AS549" s="111">
        <f t="shared" si="910"/>
        <v>-4177</v>
      </c>
      <c r="AT549" s="111">
        <f t="shared" si="910"/>
        <v>-16599</v>
      </c>
      <c r="AU549" s="111">
        <f t="shared" ref="AU549:AZ549" si="911">SUM(AU541:AU548)</f>
        <v>-5173</v>
      </c>
      <c r="AV549" s="111">
        <f t="shared" si="911"/>
        <v>-4874</v>
      </c>
      <c r="AW549" s="111">
        <f t="shared" si="911"/>
        <v>-8195</v>
      </c>
      <c r="AX549" s="111">
        <f t="shared" si="911"/>
        <v>-330</v>
      </c>
      <c r="AY549" s="111">
        <f t="shared" si="911"/>
        <v>5829</v>
      </c>
      <c r="AZ549" s="111">
        <f t="shared" si="911"/>
        <v>-4779</v>
      </c>
      <c r="BA549" s="111">
        <f t="shared" ref="BA549:BI549" si="912">SUM(BA541:BA548)</f>
        <v>-6959</v>
      </c>
      <c r="BB549" s="111">
        <f t="shared" si="912"/>
        <v>-9701</v>
      </c>
      <c r="BC549" s="111">
        <f t="shared" si="912"/>
        <v>-7531</v>
      </c>
      <c r="BD549" s="111">
        <f t="shared" si="912"/>
        <v>-6743</v>
      </c>
      <c r="BE549" s="111">
        <f t="shared" si="912"/>
        <v>-5203</v>
      </c>
      <c r="BF549" s="111">
        <f t="shared" si="912"/>
        <v>-6077</v>
      </c>
      <c r="BG549" s="111">
        <f t="shared" si="912"/>
        <v>-6472</v>
      </c>
      <c r="BH549" s="111">
        <f t="shared" si="912"/>
        <v>-8734</v>
      </c>
      <c r="BI549" s="111">
        <f t="shared" si="912"/>
        <v>-8298</v>
      </c>
      <c r="BJ549" s="111">
        <f t="shared" ref="BJ549" si="913">SUM(BJ541:BJ548)</f>
        <v>-8620</v>
      </c>
      <c r="BK549" s="111"/>
      <c r="BL549" s="111"/>
      <c r="BM549" s="111"/>
      <c r="BN549" s="111"/>
      <c r="BO549" s="111"/>
      <c r="BS549" s="111">
        <f>SUM(BS541:BS548)</f>
        <v>-62</v>
      </c>
      <c r="BT549" s="111">
        <f t="shared" ref="BT549:CB549" si="914">SUM(BT541:BT548)</f>
        <v>-324</v>
      </c>
      <c r="BU549" s="111">
        <f t="shared" si="914"/>
        <v>-3023</v>
      </c>
      <c r="BV549" s="111">
        <f t="shared" si="914"/>
        <v>-7024</v>
      </c>
      <c r="BW549" s="111">
        <f t="shared" si="914"/>
        <v>-2624</v>
      </c>
      <c r="BX549" s="111">
        <f t="shared" si="914"/>
        <v>-5913</v>
      </c>
      <c r="BY549" s="111">
        <f t="shared" si="914"/>
        <v>-9434</v>
      </c>
      <c r="BZ549" s="111">
        <f t="shared" si="914"/>
        <v>-11739</v>
      </c>
      <c r="CA549" s="111">
        <f t="shared" si="914"/>
        <v>-20038</v>
      </c>
      <c r="CB549" s="111">
        <f t="shared" si="914"/>
        <v>-11603</v>
      </c>
      <c r="CC549" s="111">
        <f t="shared" si="900"/>
        <v>-19864</v>
      </c>
      <c r="CD549" s="111">
        <f t="shared" si="906"/>
        <v>-30058</v>
      </c>
      <c r="CE549" s="111">
        <f t="shared" si="907"/>
        <v>-7570</v>
      </c>
      <c r="CF549" s="111">
        <f t="shared" si="908"/>
        <v>-28970</v>
      </c>
      <c r="CG549" s="111">
        <f t="shared" si="909"/>
        <v>-24495</v>
      </c>
      <c r="CH549" s="111"/>
      <c r="CI549" s="111"/>
    </row>
    <row r="551" spans="2:87" x14ac:dyDescent="0.2">
      <c r="B551" t="s">
        <v>173</v>
      </c>
      <c r="H551" s="81">
        <v>0</v>
      </c>
      <c r="I551" s="81">
        <v>0</v>
      </c>
      <c r="J551" s="81">
        <v>0</v>
      </c>
      <c r="K551" s="81">
        <v>0</v>
      </c>
      <c r="L551" s="81">
        <v>0</v>
      </c>
      <c r="M551" s="81">
        <v>0</v>
      </c>
      <c r="N551" s="81">
        <v>0</v>
      </c>
      <c r="O551" s="81">
        <v>-2862</v>
      </c>
      <c r="P551" s="81">
        <v>-405</v>
      </c>
      <c r="Q551" s="81">
        <v>-153</v>
      </c>
      <c r="R551" s="81">
        <v>-148</v>
      </c>
      <c r="S551" s="81">
        <v>-183</v>
      </c>
      <c r="T551" s="81">
        <v>-3</v>
      </c>
      <c r="U551" s="81">
        <v>0</v>
      </c>
      <c r="V551" s="81">
        <v>0</v>
      </c>
      <c r="W551" s="81">
        <v>3</v>
      </c>
      <c r="X551" s="81">
        <v>0</v>
      </c>
      <c r="Y551" s="81">
        <v>0</v>
      </c>
      <c r="Z551" s="81">
        <v>0</v>
      </c>
      <c r="AA551" s="81">
        <v>-20</v>
      </c>
      <c r="AB551" s="81">
        <v>0</v>
      </c>
      <c r="AC551" s="81">
        <v>0</v>
      </c>
      <c r="AD551" s="81">
        <v>-6</v>
      </c>
      <c r="AE551" s="81">
        <v>0</v>
      </c>
      <c r="AF551" s="81">
        <v>-771</v>
      </c>
      <c r="AG551" s="81">
        <v>-724</v>
      </c>
      <c r="AH551" s="81">
        <v>-865</v>
      </c>
      <c r="AI551" s="81">
        <v>-886</v>
      </c>
      <c r="AJ551" s="81">
        <v>-832</v>
      </c>
      <c r="AK551" s="81">
        <v>-927</v>
      </c>
      <c r="AL551" s="81">
        <v>-905</v>
      </c>
      <c r="AM551" s="81">
        <v>-545</v>
      </c>
      <c r="AN551" s="81">
        <v>-512</v>
      </c>
      <c r="AO551" s="81">
        <v>-606</v>
      </c>
      <c r="AP551" s="81">
        <v>-591</v>
      </c>
      <c r="AQ551" s="81">
        <v>-627</v>
      </c>
      <c r="AR551" s="81">
        <v>-690</v>
      </c>
      <c r="AS551" s="81">
        <v>-753</v>
      </c>
      <c r="AT551" s="81">
        <v>-1000</v>
      </c>
      <c r="AU551" s="81">
        <v>-1121</v>
      </c>
      <c r="AV551" s="81">
        <v>-1077</v>
      </c>
      <c r="AW551" s="81">
        <v>-1354</v>
      </c>
      <c r="AX551" s="81">
        <v>-1576</v>
      </c>
      <c r="AY551" s="81">
        <v>-1507</v>
      </c>
      <c r="AZ551" s="81">
        <v>-925</v>
      </c>
      <c r="BA551" s="81">
        <v>-1002</v>
      </c>
      <c r="BB551" s="81">
        <v>-1011</v>
      </c>
      <c r="BC551" s="81">
        <v>-656</v>
      </c>
      <c r="BD551" s="81">
        <v>-1009</v>
      </c>
      <c r="BE551" s="81">
        <v>-1692</v>
      </c>
      <c r="BF551" s="81">
        <v>-2087</v>
      </c>
      <c r="BG551" s="81">
        <v>-2223</v>
      </c>
      <c r="BH551" s="81">
        <v>-3162</v>
      </c>
      <c r="BI551" s="81">
        <v>-3208</v>
      </c>
      <c r="BJ551" s="81">
        <v>-3544</v>
      </c>
      <c r="BK551" s="81"/>
      <c r="BL551" s="81"/>
      <c r="BM551" s="81"/>
      <c r="BN551" s="81"/>
      <c r="BO551" s="81"/>
      <c r="BS551" s="81">
        <v>0</v>
      </c>
      <c r="BT551" s="81">
        <v>0</v>
      </c>
      <c r="BU551" s="81">
        <v>0</v>
      </c>
      <c r="BV551" s="81">
        <v>-2862</v>
      </c>
      <c r="BW551" s="81">
        <v>-889</v>
      </c>
      <c r="BX551" s="81">
        <v>0</v>
      </c>
      <c r="BY551" s="81">
        <v>-20</v>
      </c>
      <c r="BZ551" s="81">
        <v>-6</v>
      </c>
      <c r="CA551" s="81">
        <v>-3246</v>
      </c>
      <c r="CB551" s="81">
        <v>-3208</v>
      </c>
      <c r="CC551" s="64">
        <f t="shared" si="900"/>
        <v>-2336</v>
      </c>
      <c r="CD551" s="64">
        <f t="shared" ref="CD551:CD563" si="915">+SUM(AR551:AU551)</f>
        <v>-3564</v>
      </c>
      <c r="CE551" s="64">
        <f t="shared" ref="CE551:CE563" si="916">+SUM(AV551:AY551)</f>
        <v>-5514</v>
      </c>
      <c r="CF551" s="64">
        <f t="shared" ref="CF551:CF563" si="917">+SUM(AZ551:BC551)</f>
        <v>-3594</v>
      </c>
      <c r="CG551" s="64">
        <f t="shared" ref="CG551:CG563" si="918">+SUM(BD551:BG551)</f>
        <v>-7011</v>
      </c>
      <c r="CH551" s="64"/>
      <c r="CI551" s="64"/>
    </row>
    <row r="552" spans="2:87" x14ac:dyDescent="0.2">
      <c r="B552" t="s">
        <v>151</v>
      </c>
      <c r="H552" s="81">
        <v>69</v>
      </c>
      <c r="I552" s="81">
        <v>286</v>
      </c>
      <c r="J552" s="81">
        <v>50</v>
      </c>
      <c r="K552" s="81">
        <v>28</v>
      </c>
      <c r="L552" s="81">
        <v>54</v>
      </c>
      <c r="M552" s="81">
        <v>327</v>
      </c>
      <c r="N552" s="81">
        <v>473</v>
      </c>
      <c r="O552" s="81">
        <v>179</v>
      </c>
      <c r="P552" s="81">
        <v>62</v>
      </c>
      <c r="Q552" s="81">
        <v>93</v>
      </c>
      <c r="R552" s="81">
        <v>130</v>
      </c>
      <c r="S552" s="81">
        <v>324</v>
      </c>
      <c r="T552" s="81">
        <v>348</v>
      </c>
      <c r="U552" s="81">
        <v>535</v>
      </c>
      <c r="V552" s="81">
        <v>482</v>
      </c>
      <c r="W552" s="81">
        <v>-1365</v>
      </c>
      <c r="X552" s="81">
        <v>423</v>
      </c>
      <c r="Y552" s="81">
        <v>386</v>
      </c>
      <c r="Z552" s="81">
        <v>346</v>
      </c>
      <c r="AA552" s="81">
        <v>-1155</v>
      </c>
      <c r="AB552" s="81">
        <v>0</v>
      </c>
      <c r="AC552" s="81">
        <v>0</v>
      </c>
      <c r="AD552" s="81">
        <v>0</v>
      </c>
      <c r="AE552" s="81">
        <v>0</v>
      </c>
      <c r="AF552" s="81">
        <v>0</v>
      </c>
      <c r="AG552" s="81">
        <v>0</v>
      </c>
      <c r="AH552" s="81">
        <v>0</v>
      </c>
      <c r="AI552" s="81">
        <v>0</v>
      </c>
      <c r="AJ552" s="81">
        <v>0</v>
      </c>
      <c r="AK552" s="81">
        <v>0</v>
      </c>
      <c r="AL552" s="81">
        <v>0</v>
      </c>
      <c r="AM552" s="81">
        <v>0</v>
      </c>
      <c r="AN552" s="81">
        <v>0</v>
      </c>
      <c r="AO552" s="81">
        <v>0</v>
      </c>
      <c r="AP552" s="81">
        <v>0</v>
      </c>
      <c r="AQ552" s="81">
        <v>0</v>
      </c>
      <c r="AR552" s="81">
        <v>0</v>
      </c>
      <c r="AS552" s="81">
        <v>0</v>
      </c>
      <c r="AT552" s="81">
        <v>0</v>
      </c>
      <c r="AU552" s="81">
        <v>0</v>
      </c>
      <c r="AV552" s="81">
        <v>0</v>
      </c>
      <c r="AW552" s="81">
        <v>0</v>
      </c>
      <c r="AX552" s="81">
        <v>0</v>
      </c>
      <c r="AY552" s="81">
        <v>0</v>
      </c>
      <c r="AZ552" s="81">
        <v>0</v>
      </c>
      <c r="BA552" s="81">
        <v>0</v>
      </c>
      <c r="BB552" s="81">
        <v>0</v>
      </c>
      <c r="BC552" s="81">
        <v>0</v>
      </c>
      <c r="BD552" s="81">
        <v>0</v>
      </c>
      <c r="BE552" s="81">
        <v>0</v>
      </c>
      <c r="BF552" s="81">
        <v>0</v>
      </c>
      <c r="BG552" s="81">
        <v>0</v>
      </c>
      <c r="BH552" s="81">
        <v>0</v>
      </c>
      <c r="BI552" s="81">
        <v>0</v>
      </c>
      <c r="BJ552" s="81">
        <v>0</v>
      </c>
      <c r="BK552" s="81"/>
      <c r="BL552" s="81"/>
      <c r="BM552" s="81"/>
      <c r="BN552" s="81"/>
      <c r="BO552" s="81"/>
      <c r="BS552" s="81">
        <v>51</v>
      </c>
      <c r="BT552" s="81">
        <v>115</v>
      </c>
      <c r="BU552" s="81">
        <v>433</v>
      </c>
      <c r="BV552" s="81">
        <v>1033</v>
      </c>
      <c r="BW552" s="81">
        <v>609</v>
      </c>
      <c r="BX552" s="81">
        <v>0</v>
      </c>
      <c r="BY552" s="81">
        <v>0</v>
      </c>
      <c r="BZ552" s="81">
        <v>0</v>
      </c>
      <c r="CA552" s="81">
        <v>0</v>
      </c>
      <c r="CB552" s="81">
        <v>0</v>
      </c>
      <c r="CC552" s="64">
        <f t="shared" si="900"/>
        <v>0</v>
      </c>
      <c r="CD552" s="64">
        <f t="shared" si="915"/>
        <v>0</v>
      </c>
      <c r="CE552" s="64">
        <f t="shared" si="916"/>
        <v>0</v>
      </c>
      <c r="CF552" s="64">
        <f t="shared" si="917"/>
        <v>0</v>
      </c>
      <c r="CG552" s="64">
        <f t="shared" si="918"/>
        <v>0</v>
      </c>
      <c r="CH552" s="64"/>
      <c r="CI552" s="64"/>
    </row>
    <row r="553" spans="2:87" x14ac:dyDescent="0.2">
      <c r="B553" t="s">
        <v>174</v>
      </c>
      <c r="H553" s="81">
        <v>-29</v>
      </c>
      <c r="I553" s="81">
        <v>-53</v>
      </c>
      <c r="J553" s="81">
        <v>-46</v>
      </c>
      <c r="K553" s="81">
        <v>-53</v>
      </c>
      <c r="L553" s="81">
        <v>-71</v>
      </c>
      <c r="M553" s="81">
        <v>-72</v>
      </c>
      <c r="N553" s="81">
        <v>-88</v>
      </c>
      <c r="O553" s="81">
        <v>-135</v>
      </c>
      <c r="P553" s="81">
        <v>-109</v>
      </c>
      <c r="Q553" s="81">
        <v>-91</v>
      </c>
      <c r="R553" s="81">
        <v>-91</v>
      </c>
      <c r="S553" s="81">
        <v>-100</v>
      </c>
      <c r="T553" s="81">
        <v>-84</v>
      </c>
      <c r="U553" s="81">
        <v>-66</v>
      </c>
      <c r="V553" s="81">
        <v>-49</v>
      </c>
      <c r="W553" s="81">
        <v>-44</v>
      </c>
      <c r="X553" s="81">
        <v>-47</v>
      </c>
      <c r="Y553" s="81">
        <v>-37</v>
      </c>
      <c r="Z553" s="81">
        <v>-23</v>
      </c>
      <c r="AA553" s="81">
        <v>-12</v>
      </c>
      <c r="AB553" s="81">
        <v>-312</v>
      </c>
      <c r="AC553" s="81">
        <v>0</v>
      </c>
      <c r="AD553" s="81">
        <v>0</v>
      </c>
      <c r="AE553" s="81">
        <v>0</v>
      </c>
      <c r="AF553" s="81">
        <v>0</v>
      </c>
      <c r="AG553" s="81">
        <v>0</v>
      </c>
      <c r="AH553" s="81">
        <v>0</v>
      </c>
      <c r="AI553" s="81">
        <v>0</v>
      </c>
      <c r="AJ553" s="81">
        <v>0</v>
      </c>
      <c r="AK553" s="81">
        <v>0</v>
      </c>
      <c r="AL553" s="81">
        <v>0</v>
      </c>
      <c r="AM553" s="81">
        <v>0</v>
      </c>
      <c r="AN553" s="81">
        <v>-125</v>
      </c>
      <c r="AO553" s="81">
        <v>-142</v>
      </c>
      <c r="AP553" s="81">
        <v>-144</v>
      </c>
      <c r="AQ553" s="81">
        <v>-141</v>
      </c>
      <c r="AR553" s="81">
        <v>-100</v>
      </c>
      <c r="AS553" s="81">
        <v>-109</v>
      </c>
      <c r="AT553" s="81">
        <v>-189</v>
      </c>
      <c r="AU553" s="81">
        <v>-205</v>
      </c>
      <c r="AV553" s="81">
        <v>-151</v>
      </c>
      <c r="AW553" s="81">
        <v>-123</v>
      </c>
      <c r="AX553" s="81">
        <v>-231</v>
      </c>
      <c r="AY553" s="81">
        <v>-172</v>
      </c>
      <c r="AZ553" s="81">
        <v>-233</v>
      </c>
      <c r="BA553" s="81">
        <v>-219</v>
      </c>
      <c r="BB553" s="81">
        <v>-163</v>
      </c>
      <c r="BC553" s="81">
        <v>-235</v>
      </c>
      <c r="BD553" s="81">
        <v>-264</v>
      </c>
      <c r="BE553" s="81">
        <v>-220</v>
      </c>
      <c r="BF553" s="81">
        <v>-267</v>
      </c>
      <c r="BG553" s="81">
        <v>-307</v>
      </c>
      <c r="BH553" s="81">
        <v>-315</v>
      </c>
      <c r="BI553" s="81">
        <v>-299</v>
      </c>
      <c r="BJ553" s="81">
        <v>-944</v>
      </c>
      <c r="BK553" s="81"/>
      <c r="BL553" s="81"/>
      <c r="BM553" s="81"/>
      <c r="BN553" s="81"/>
      <c r="BO553" s="81"/>
      <c r="BS553" s="81">
        <v>-48</v>
      </c>
      <c r="BT553" s="81">
        <v>-90</v>
      </c>
      <c r="BU553" s="81">
        <v>-181</v>
      </c>
      <c r="BV553" s="81">
        <v>-366</v>
      </c>
      <c r="BW553" s="81">
        <v>-391</v>
      </c>
      <c r="BX553" s="81">
        <v>-243</v>
      </c>
      <c r="BY553" s="81">
        <v>-119</v>
      </c>
      <c r="BZ553" s="81">
        <v>-312</v>
      </c>
      <c r="CA553" s="81">
        <v>0</v>
      </c>
      <c r="CB553" s="81">
        <v>0</v>
      </c>
      <c r="CC553" s="64">
        <f t="shared" si="900"/>
        <v>-552</v>
      </c>
      <c r="CD553" s="64">
        <f t="shared" si="915"/>
        <v>-603</v>
      </c>
      <c r="CE553" s="64">
        <f t="shared" si="916"/>
        <v>-677</v>
      </c>
      <c r="CF553" s="64">
        <f t="shared" si="917"/>
        <v>-850</v>
      </c>
      <c r="CG553" s="64">
        <f t="shared" si="918"/>
        <v>-1058</v>
      </c>
      <c r="CH553" s="64"/>
      <c r="CI553" s="64"/>
    </row>
    <row r="554" spans="2:87" x14ac:dyDescent="0.2">
      <c r="B554" t="s">
        <v>175</v>
      </c>
      <c r="H554" s="81">
        <v>-250</v>
      </c>
      <c r="I554" s="81">
        <v>0</v>
      </c>
      <c r="J554" s="81">
        <v>0</v>
      </c>
      <c r="K554" s="81">
        <v>0</v>
      </c>
      <c r="L554" s="81">
        <v>0</v>
      </c>
      <c r="M554" s="81">
        <v>0</v>
      </c>
      <c r="N554" s="81">
        <v>0</v>
      </c>
      <c r="O554" s="81">
        <v>1496</v>
      </c>
      <c r="P554" s="81">
        <v>0</v>
      </c>
      <c r="Q554" s="81">
        <v>0</v>
      </c>
      <c r="R554" s="81">
        <v>-1500</v>
      </c>
      <c r="S554" s="81">
        <v>0</v>
      </c>
      <c r="T554" s="81">
        <v>0</v>
      </c>
      <c r="U554" s="81">
        <v>0</v>
      </c>
      <c r="V554" s="81">
        <v>0</v>
      </c>
      <c r="W554" s="81">
        <v>0</v>
      </c>
      <c r="X554" s="81">
        <v>0</v>
      </c>
      <c r="Y554" s="81">
        <v>0</v>
      </c>
      <c r="Z554" s="81">
        <v>0</v>
      </c>
      <c r="AA554" s="81">
        <v>0</v>
      </c>
      <c r="AB554" s="81">
        <v>0</v>
      </c>
      <c r="AC554" s="81">
        <v>0</v>
      </c>
      <c r="AD554" s="81">
        <v>0</v>
      </c>
      <c r="AE554" s="81">
        <v>0</v>
      </c>
      <c r="AF554" s="81">
        <v>0</v>
      </c>
      <c r="AG554" s="81">
        <v>0</v>
      </c>
      <c r="AH554" s="81">
        <v>0</v>
      </c>
      <c r="AI554" s="81">
        <v>0</v>
      </c>
      <c r="AJ554" s="81">
        <v>0</v>
      </c>
      <c r="AK554" s="81">
        <v>0</v>
      </c>
      <c r="AL554" s="81">
        <v>0</v>
      </c>
      <c r="AM554" s="81">
        <v>0</v>
      </c>
      <c r="AN554" s="81">
        <v>0</v>
      </c>
      <c r="AO554" s="81">
        <v>0</v>
      </c>
      <c r="AP554" s="81">
        <v>0</v>
      </c>
      <c r="AQ554" s="81">
        <v>0</v>
      </c>
      <c r="AR554" s="81">
        <v>0</v>
      </c>
      <c r="AS554" s="81">
        <v>0</v>
      </c>
      <c r="AT554" s="81">
        <v>0</v>
      </c>
      <c r="AU554" s="81">
        <v>0</v>
      </c>
      <c r="AV554" s="81">
        <v>0</v>
      </c>
      <c r="AW554" s="81">
        <v>0</v>
      </c>
      <c r="AX554" s="81">
        <v>0</v>
      </c>
      <c r="AY554" s="81">
        <v>0</v>
      </c>
      <c r="AZ554" s="81">
        <v>0</v>
      </c>
      <c r="BA554" s="81">
        <v>0</v>
      </c>
      <c r="BB554" s="81">
        <v>9921</v>
      </c>
      <c r="BC554" s="81">
        <v>0</v>
      </c>
      <c r="BD554" s="81">
        <v>0</v>
      </c>
      <c r="BE554" s="81">
        <v>8455</v>
      </c>
      <c r="BF554" s="81">
        <v>0</v>
      </c>
      <c r="BG554" s="81">
        <v>0</v>
      </c>
      <c r="BH554" s="81">
        <v>0</v>
      </c>
      <c r="BI554" s="81">
        <v>0</v>
      </c>
      <c r="BJ554" s="81">
        <v>10432</v>
      </c>
      <c r="BK554" s="81"/>
      <c r="BL554" s="81"/>
      <c r="BM554" s="81"/>
      <c r="BN554" s="81"/>
      <c r="BO554" s="81"/>
      <c r="BS554" s="81">
        <v>0</v>
      </c>
      <c r="BT554" s="81">
        <v>250</v>
      </c>
      <c r="BU554" s="81">
        <v>-250</v>
      </c>
      <c r="BV554" s="81">
        <v>1496</v>
      </c>
      <c r="BW554" s="81">
        <v>-1500</v>
      </c>
      <c r="BX554" s="81">
        <v>0</v>
      </c>
      <c r="BY554" s="81">
        <v>0</v>
      </c>
      <c r="BZ554" s="81">
        <v>0</v>
      </c>
      <c r="CA554" s="81">
        <v>0</v>
      </c>
      <c r="CB554" s="81">
        <v>0</v>
      </c>
      <c r="CC554" s="64">
        <f t="shared" si="900"/>
        <v>0</v>
      </c>
      <c r="CD554" s="64">
        <f t="shared" si="915"/>
        <v>0</v>
      </c>
      <c r="CE554" s="64">
        <f t="shared" si="916"/>
        <v>0</v>
      </c>
      <c r="CF554" s="64">
        <f t="shared" si="917"/>
        <v>9921</v>
      </c>
      <c r="CG554" s="64">
        <f t="shared" si="918"/>
        <v>8455</v>
      </c>
      <c r="CH554" s="64"/>
      <c r="CI554" s="64"/>
    </row>
    <row r="555" spans="2:87" x14ac:dyDescent="0.2">
      <c r="B555" t="s">
        <v>176</v>
      </c>
      <c r="H555" s="81">
        <v>0</v>
      </c>
      <c r="I555" s="81">
        <v>0</v>
      </c>
      <c r="J555" s="81">
        <v>0</v>
      </c>
      <c r="K555" s="81">
        <v>0</v>
      </c>
      <c r="L555" s="81">
        <v>0</v>
      </c>
      <c r="M555" s="81">
        <v>0</v>
      </c>
      <c r="N555" s="81">
        <v>0</v>
      </c>
      <c r="O555" s="81">
        <v>0</v>
      </c>
      <c r="P555" s="81">
        <v>0</v>
      </c>
      <c r="Q555" s="81">
        <v>0</v>
      </c>
      <c r="R555" s="81">
        <v>0</v>
      </c>
      <c r="S555" s="81">
        <v>0</v>
      </c>
      <c r="T555" s="81">
        <v>0</v>
      </c>
      <c r="U555" s="81">
        <v>0</v>
      </c>
      <c r="V555" s="81">
        <v>0</v>
      </c>
      <c r="W555" s="81">
        <v>0</v>
      </c>
      <c r="X555" s="81">
        <v>0</v>
      </c>
      <c r="Y555" s="81">
        <v>0</v>
      </c>
      <c r="Z555" s="81">
        <v>0</v>
      </c>
      <c r="AA555" s="81">
        <v>0</v>
      </c>
      <c r="AB555" s="81">
        <v>0</v>
      </c>
      <c r="AC555" s="81">
        <v>0</v>
      </c>
      <c r="AD555" s="81">
        <v>0</v>
      </c>
      <c r="AE555" s="81">
        <v>0</v>
      </c>
      <c r="AF555" s="81">
        <v>0</v>
      </c>
      <c r="AG555" s="81">
        <v>0</v>
      </c>
      <c r="AH555" s="81">
        <v>0</v>
      </c>
      <c r="AI555" s="81">
        <v>0</v>
      </c>
      <c r="AJ555" s="81">
        <v>0</v>
      </c>
      <c r="AK555" s="81">
        <v>0</v>
      </c>
      <c r="AL555" s="81">
        <v>0</v>
      </c>
      <c r="AM555" s="81">
        <v>0</v>
      </c>
      <c r="AN555" s="81">
        <v>0</v>
      </c>
      <c r="AO555" s="81">
        <v>0</v>
      </c>
      <c r="AP555" s="81">
        <v>0</v>
      </c>
      <c r="AQ555" s="81">
        <v>0</v>
      </c>
      <c r="AR555" s="81">
        <v>0</v>
      </c>
      <c r="AS555" s="81">
        <v>0</v>
      </c>
      <c r="AT555" s="81">
        <v>0</v>
      </c>
      <c r="AU555" s="81">
        <v>0</v>
      </c>
      <c r="AV555" s="81">
        <v>0</v>
      </c>
      <c r="AW555" s="81">
        <v>0</v>
      </c>
      <c r="AX555" s="81">
        <v>0</v>
      </c>
      <c r="AY555" s="81">
        <v>0</v>
      </c>
      <c r="AZ555" s="81">
        <v>0</v>
      </c>
      <c r="BA555" s="81">
        <v>0</v>
      </c>
      <c r="BB555" s="81">
        <v>0</v>
      </c>
      <c r="BC555" s="81">
        <v>0</v>
      </c>
      <c r="BD555" s="81">
        <v>0</v>
      </c>
      <c r="BE555" s="81">
        <v>0</v>
      </c>
      <c r="BF555" s="81">
        <v>0</v>
      </c>
      <c r="BG555" s="81">
        <v>0</v>
      </c>
      <c r="BH555" s="81">
        <v>0</v>
      </c>
      <c r="BI555" s="81">
        <v>0</v>
      </c>
      <c r="BJ555" s="81">
        <v>0</v>
      </c>
      <c r="BK555" s="81"/>
      <c r="BL555" s="81"/>
      <c r="BM555" s="81"/>
      <c r="BN555" s="81"/>
      <c r="BO555" s="81"/>
      <c r="BS555" s="81">
        <v>200</v>
      </c>
      <c r="BT555" s="81">
        <v>0</v>
      </c>
      <c r="BU555" s="81">
        <v>0</v>
      </c>
      <c r="BV555" s="81">
        <v>0</v>
      </c>
      <c r="BW555" s="81">
        <v>0</v>
      </c>
      <c r="BX555" s="81">
        <v>0</v>
      </c>
      <c r="BY555" s="81">
        <v>0</v>
      </c>
      <c r="BZ555" s="81">
        <v>0</v>
      </c>
      <c r="CA555" s="81">
        <v>0</v>
      </c>
      <c r="CB555" s="81">
        <v>0</v>
      </c>
      <c r="CC555" s="64">
        <f t="shared" si="900"/>
        <v>0</v>
      </c>
      <c r="CD555" s="64">
        <f t="shared" si="915"/>
        <v>0</v>
      </c>
      <c r="CE555" s="64">
        <f t="shared" si="916"/>
        <v>0</v>
      </c>
      <c r="CF555" s="64">
        <f t="shared" si="917"/>
        <v>0</v>
      </c>
      <c r="CG555" s="64">
        <f t="shared" si="918"/>
        <v>0</v>
      </c>
      <c r="CH555" s="64"/>
      <c r="CI555" s="64"/>
    </row>
    <row r="556" spans="2:87" x14ac:dyDescent="0.2">
      <c r="B556" t="s">
        <v>177</v>
      </c>
      <c r="H556" s="81">
        <v>998</v>
      </c>
      <c r="I556" s="81">
        <v>0</v>
      </c>
      <c r="J556" s="81">
        <v>0</v>
      </c>
      <c r="K556" s="81">
        <v>0</v>
      </c>
      <c r="L556" s="81">
        <v>0</v>
      </c>
      <c r="M556" s="81">
        <v>6761</v>
      </c>
      <c r="N556" s="81">
        <v>-1</v>
      </c>
      <c r="O556" s="81">
        <v>0</v>
      </c>
      <c r="P556" s="81">
        <v>0</v>
      </c>
      <c r="Q556" s="81">
        <v>0</v>
      </c>
      <c r="R556" s="81">
        <v>0</v>
      </c>
      <c r="S556" s="81">
        <v>1478</v>
      </c>
      <c r="T556" s="81">
        <v>0</v>
      </c>
      <c r="U556" s="81">
        <v>0</v>
      </c>
      <c r="V556" s="81">
        <v>0</v>
      </c>
      <c r="W556" s="81">
        <v>0</v>
      </c>
      <c r="X556" s="81">
        <v>0</v>
      </c>
      <c r="Y556" s="81">
        <v>0</v>
      </c>
      <c r="Z556" s="81">
        <v>0</v>
      </c>
      <c r="AA556" s="81">
        <v>0</v>
      </c>
      <c r="AB556" s="81">
        <v>0</v>
      </c>
      <c r="AC556" s="81">
        <v>0</v>
      </c>
      <c r="AD556" s="81">
        <v>0</v>
      </c>
      <c r="AE556" s="81">
        <v>0</v>
      </c>
      <c r="AF556" s="81">
        <v>0</v>
      </c>
      <c r="AG556" s="81">
        <v>0</v>
      </c>
      <c r="AH556" s="81">
        <v>0</v>
      </c>
      <c r="AI556" s="81">
        <v>0</v>
      </c>
      <c r="AJ556" s="81">
        <v>0</v>
      </c>
      <c r="AK556" s="81">
        <v>0</v>
      </c>
      <c r="AL556" s="81">
        <v>0</v>
      </c>
      <c r="AM556" s="81">
        <v>0</v>
      </c>
      <c r="AN556" s="81">
        <v>0</v>
      </c>
      <c r="AO556" s="81">
        <v>0</v>
      </c>
      <c r="AP556" s="81">
        <v>0</v>
      </c>
      <c r="AQ556" s="81">
        <v>0</v>
      </c>
      <c r="AR556" s="81">
        <v>0</v>
      </c>
      <c r="AS556" s="81">
        <v>0</v>
      </c>
      <c r="AT556" s="81">
        <v>0</v>
      </c>
      <c r="AU556" s="81">
        <v>0</v>
      </c>
      <c r="AV556" s="81">
        <v>0</v>
      </c>
      <c r="AW556" s="81">
        <v>0</v>
      </c>
      <c r="AX556" s="81">
        <v>0</v>
      </c>
      <c r="AY556" s="81">
        <v>0</v>
      </c>
      <c r="AZ556" s="81">
        <v>0</v>
      </c>
      <c r="BA556" s="81">
        <v>0</v>
      </c>
      <c r="BB556" s="81">
        <v>0</v>
      </c>
      <c r="BC556" s="81">
        <v>0</v>
      </c>
      <c r="BD556" s="81">
        <v>0</v>
      </c>
      <c r="BE556" s="81">
        <v>0</v>
      </c>
      <c r="BF556" s="81">
        <v>0</v>
      </c>
      <c r="BG556" s="81">
        <v>0</v>
      </c>
      <c r="BH556" s="81">
        <v>0</v>
      </c>
      <c r="BI556" s="81">
        <v>0</v>
      </c>
      <c r="BJ556" s="81">
        <v>0</v>
      </c>
      <c r="BK556" s="81"/>
      <c r="BL556" s="81"/>
      <c r="BM556" s="81"/>
      <c r="BN556" s="81"/>
      <c r="BO556" s="81"/>
      <c r="BS556" s="81">
        <v>0</v>
      </c>
      <c r="BT556" s="81">
        <v>500</v>
      </c>
      <c r="BU556" s="81">
        <v>998</v>
      </c>
      <c r="BV556" s="81">
        <v>6760</v>
      </c>
      <c r="BW556" s="81">
        <v>1478</v>
      </c>
      <c r="BX556" s="81">
        <v>0</v>
      </c>
      <c r="BY556" s="81">
        <v>0</v>
      </c>
      <c r="BZ556" s="81">
        <v>0</v>
      </c>
      <c r="CA556" s="81">
        <v>0</v>
      </c>
      <c r="CB556" s="81">
        <v>0</v>
      </c>
      <c r="CC556" s="64">
        <f t="shared" si="900"/>
        <v>0</v>
      </c>
      <c r="CD556" s="64">
        <f t="shared" si="915"/>
        <v>0</v>
      </c>
      <c r="CE556" s="64">
        <f t="shared" si="916"/>
        <v>0</v>
      </c>
      <c r="CF556" s="64">
        <f t="shared" si="917"/>
        <v>0</v>
      </c>
      <c r="CG556" s="64">
        <f t="shared" si="918"/>
        <v>0</v>
      </c>
      <c r="CH556" s="64"/>
      <c r="CI556" s="64"/>
    </row>
    <row r="557" spans="2:87" x14ac:dyDescent="0.2">
      <c r="B557" t="s">
        <v>178</v>
      </c>
      <c r="H557" s="81">
        <v>9</v>
      </c>
      <c r="I557" s="81">
        <v>15</v>
      </c>
      <c r="J557" s="81">
        <v>3</v>
      </c>
      <c r="K557" s="81">
        <v>1</v>
      </c>
      <c r="L557" s="81">
        <v>5</v>
      </c>
      <c r="M557" s="81">
        <v>4</v>
      </c>
      <c r="N557" s="81">
        <v>0</v>
      </c>
      <c r="O557" s="81">
        <v>8</v>
      </c>
      <c r="P557" s="81">
        <v>8</v>
      </c>
      <c r="Q557" s="81">
        <v>2</v>
      </c>
      <c r="R557" s="81">
        <v>10</v>
      </c>
      <c r="S557" s="81">
        <v>6</v>
      </c>
      <c r="T557" s="81">
        <v>1</v>
      </c>
      <c r="U557" s="81">
        <v>1</v>
      </c>
      <c r="V557" s="81">
        <v>5</v>
      </c>
      <c r="W557" s="81">
        <v>-7</v>
      </c>
      <c r="X557" s="81">
        <v>0</v>
      </c>
      <c r="Y557" s="81">
        <v>0</v>
      </c>
      <c r="Z557" s="81">
        <v>0</v>
      </c>
      <c r="AA557" s="81">
        <v>0</v>
      </c>
      <c r="AB557" s="81">
        <v>0</v>
      </c>
      <c r="AC557" s="81">
        <v>0</v>
      </c>
      <c r="AD557" s="81">
        <v>0</v>
      </c>
      <c r="AE557" s="81">
        <v>0</v>
      </c>
      <c r="AF557" s="81">
        <v>0</v>
      </c>
      <c r="AG557" s="81">
        <v>0</v>
      </c>
      <c r="AH557" s="81">
        <v>0</v>
      </c>
      <c r="AI557" s="81">
        <v>0</v>
      </c>
      <c r="AJ557" s="81">
        <v>0</v>
      </c>
      <c r="AK557" s="81">
        <v>0</v>
      </c>
      <c r="AL557" s="81">
        <v>0</v>
      </c>
      <c r="AM557" s="81">
        <v>0</v>
      </c>
      <c r="AN557" s="81">
        <v>0</v>
      </c>
      <c r="AO557" s="81">
        <v>0</v>
      </c>
      <c r="AP557" s="81">
        <v>0</v>
      </c>
      <c r="AQ557" s="81">
        <v>0</v>
      </c>
      <c r="AR557" s="81">
        <v>0</v>
      </c>
      <c r="AS557" s="81">
        <v>0</v>
      </c>
      <c r="AT557" s="81">
        <v>0</v>
      </c>
      <c r="AU557" s="81">
        <v>0</v>
      </c>
      <c r="AV557" s="81">
        <v>0</v>
      </c>
      <c r="AW557" s="81">
        <v>0</v>
      </c>
      <c r="AX557" s="81">
        <v>0</v>
      </c>
      <c r="AY557" s="81">
        <v>0</v>
      </c>
      <c r="AZ557" s="81">
        <v>0</v>
      </c>
      <c r="BA557" s="81">
        <v>0</v>
      </c>
      <c r="BB557" s="81">
        <v>0</v>
      </c>
      <c r="BC557" s="81">
        <v>0</v>
      </c>
      <c r="BD557" s="81">
        <v>0</v>
      </c>
      <c r="BE557" s="81">
        <v>0</v>
      </c>
      <c r="BF557" s="81">
        <v>0</v>
      </c>
      <c r="BG557" s="81">
        <v>0</v>
      </c>
      <c r="BH557" s="81">
        <v>0</v>
      </c>
      <c r="BI557" s="81">
        <v>0</v>
      </c>
      <c r="BJ557" s="81">
        <v>0</v>
      </c>
      <c r="BK557" s="81"/>
      <c r="BL557" s="81"/>
      <c r="BM557" s="81"/>
      <c r="BN557" s="81"/>
      <c r="BO557" s="81"/>
      <c r="BS557" s="81">
        <v>9</v>
      </c>
      <c r="BT557" s="81">
        <v>6</v>
      </c>
      <c r="BU557" s="81">
        <v>28</v>
      </c>
      <c r="BV557" s="81">
        <v>17</v>
      </c>
      <c r="BW557" s="81">
        <v>26</v>
      </c>
      <c r="BX557" s="81">
        <v>0</v>
      </c>
      <c r="BY557" s="81">
        <v>0</v>
      </c>
      <c r="BZ557" s="81">
        <v>0</v>
      </c>
      <c r="CA557" s="81">
        <v>0</v>
      </c>
      <c r="CB557" s="81">
        <v>0</v>
      </c>
      <c r="CC557" s="64">
        <f t="shared" si="900"/>
        <v>0</v>
      </c>
      <c r="CD557" s="64">
        <f t="shared" si="915"/>
        <v>0</v>
      </c>
      <c r="CE557" s="64">
        <f t="shared" si="916"/>
        <v>0</v>
      </c>
      <c r="CF557" s="64">
        <f t="shared" si="917"/>
        <v>0</v>
      </c>
      <c r="CG557" s="64">
        <f t="shared" si="918"/>
        <v>0</v>
      </c>
      <c r="CH557" s="64"/>
      <c r="CI557" s="64"/>
    </row>
    <row r="558" spans="2:87" x14ac:dyDescent="0.2">
      <c r="B558" t="s">
        <v>179</v>
      </c>
      <c r="H558" s="81">
        <v>0</v>
      </c>
      <c r="I558" s="81">
        <v>0</v>
      </c>
      <c r="J558" s="81">
        <v>0</v>
      </c>
      <c r="K558" s="81">
        <v>0</v>
      </c>
      <c r="L558" s="81">
        <v>0</v>
      </c>
      <c r="M558" s="81">
        <v>0</v>
      </c>
      <c r="N558" s="81">
        <v>0</v>
      </c>
      <c r="O558" s="81">
        <v>0</v>
      </c>
      <c r="P558" s="81">
        <v>0</v>
      </c>
      <c r="Q558" s="81">
        <v>0</v>
      </c>
      <c r="R558" s="81">
        <v>0</v>
      </c>
      <c r="S558" s="81">
        <v>0</v>
      </c>
      <c r="T558" s="81">
        <v>0</v>
      </c>
      <c r="U558" s="81">
        <v>0</v>
      </c>
      <c r="V558" s="81">
        <v>0</v>
      </c>
      <c r="W558" s="81">
        <v>0</v>
      </c>
      <c r="X558" s="81">
        <v>0</v>
      </c>
      <c r="Y558" s="81">
        <v>0</v>
      </c>
      <c r="Z558" s="81">
        <v>0</v>
      </c>
      <c r="AA558" s="81">
        <v>0</v>
      </c>
      <c r="AB558" s="81">
        <v>0</v>
      </c>
      <c r="AC558" s="81">
        <v>0</v>
      </c>
      <c r="AD558" s="81">
        <v>0</v>
      </c>
      <c r="AE558" s="81">
        <v>0</v>
      </c>
      <c r="AF558" s="81">
        <v>-228</v>
      </c>
      <c r="AG558" s="81">
        <v>-150</v>
      </c>
      <c r="AH558" s="81">
        <v>-640</v>
      </c>
      <c r="AI558" s="81">
        <v>-958</v>
      </c>
      <c r="AJ558" s="81">
        <v>-1774</v>
      </c>
      <c r="AK558" s="81">
        <v>-3349</v>
      </c>
      <c r="AL558" s="81">
        <v>-4256</v>
      </c>
      <c r="AM558" s="81">
        <v>-3500</v>
      </c>
      <c r="AN558" s="81">
        <v>-613</v>
      </c>
      <c r="AO558" s="81">
        <v>-1144</v>
      </c>
      <c r="AP558" s="81">
        <v>-1148</v>
      </c>
      <c r="AQ558" s="81">
        <v>-1296</v>
      </c>
      <c r="AR558" s="81">
        <v>-1250</v>
      </c>
      <c r="AS558" s="81">
        <v>-1369</v>
      </c>
      <c r="AT558" s="81">
        <v>-1725</v>
      </c>
      <c r="AU558" s="81">
        <v>-1928</v>
      </c>
      <c r="AV558" s="81">
        <v>-3939</v>
      </c>
      <c r="AW558" s="81">
        <v>-7079</v>
      </c>
      <c r="AX558" s="81">
        <v>-13457</v>
      </c>
      <c r="AY558" s="81">
        <v>-20063</v>
      </c>
      <c r="AZ558" s="81">
        <v>-9506</v>
      </c>
      <c r="BA558" s="81">
        <v>-5233</v>
      </c>
      <c r="BB558" s="81">
        <v>-6354</v>
      </c>
      <c r="BC558" s="81">
        <v>-6863</v>
      </c>
      <c r="BD558" s="81">
        <v>-9365</v>
      </c>
      <c r="BE558" s="81">
        <v>-898</v>
      </c>
      <c r="BF558" s="81">
        <v>-3570</v>
      </c>
      <c r="BG558" s="81">
        <v>-5942</v>
      </c>
      <c r="BH558" s="81">
        <v>-15008</v>
      </c>
      <c r="BI558" s="81">
        <v>-6299</v>
      </c>
      <c r="BJ558" s="81">
        <v>-8818</v>
      </c>
      <c r="BK558" s="81"/>
      <c r="BL558" s="81"/>
      <c r="BM558" s="81"/>
      <c r="BN558" s="81"/>
      <c r="BO558" s="81"/>
      <c r="BS558" s="81">
        <v>0</v>
      </c>
      <c r="BT558" s="81">
        <v>0</v>
      </c>
      <c r="BU558" s="81">
        <v>0</v>
      </c>
      <c r="BV558" s="81">
        <v>0</v>
      </c>
      <c r="BW558" s="81">
        <v>0</v>
      </c>
      <c r="BX558" s="81">
        <v>0</v>
      </c>
      <c r="BY558" s="81">
        <v>0</v>
      </c>
      <c r="BZ558" s="81">
        <v>0</v>
      </c>
      <c r="CA558" s="81">
        <v>-1976</v>
      </c>
      <c r="CB558" s="81">
        <v>-12879</v>
      </c>
      <c r="CC558" s="64">
        <f t="shared" si="900"/>
        <v>-4201</v>
      </c>
      <c r="CD558" s="64">
        <f t="shared" si="915"/>
        <v>-6272</v>
      </c>
      <c r="CE558" s="64">
        <f t="shared" si="916"/>
        <v>-44538</v>
      </c>
      <c r="CF558" s="64">
        <f t="shared" si="917"/>
        <v>-27956</v>
      </c>
      <c r="CG558" s="64">
        <f t="shared" si="918"/>
        <v>-19775</v>
      </c>
      <c r="CH558" s="64"/>
      <c r="CI558" s="64"/>
    </row>
    <row r="559" spans="2:87" x14ac:dyDescent="0.2">
      <c r="B559" t="s">
        <v>432</v>
      </c>
      <c r="H559" s="81"/>
      <c r="I559" s="81"/>
      <c r="J559" s="81"/>
      <c r="K559" s="81"/>
      <c r="L559" s="81"/>
      <c r="M559" s="81"/>
      <c r="N559" s="81"/>
      <c r="O559" s="81"/>
      <c r="P559" s="81"/>
      <c r="Q559" s="81"/>
      <c r="R559" s="81"/>
      <c r="S559" s="81"/>
      <c r="T559" s="81"/>
      <c r="U559" s="81"/>
      <c r="V559" s="81"/>
      <c r="W559" s="81"/>
      <c r="X559" s="81"/>
      <c r="Y559" s="81"/>
      <c r="Z559" s="81"/>
      <c r="AA559" s="81"/>
      <c r="AB559" s="81"/>
      <c r="AC559" s="81"/>
      <c r="AD559" s="81"/>
      <c r="AE559" s="81"/>
      <c r="AF559" s="81"/>
      <c r="AG559" s="81"/>
      <c r="AH559" s="81"/>
      <c r="AI559" s="81"/>
      <c r="AJ559" s="81"/>
      <c r="AK559" s="81"/>
      <c r="AL559" s="81"/>
      <c r="AM559" s="81"/>
      <c r="AN559" s="81">
        <v>0</v>
      </c>
      <c r="AO559" s="81">
        <v>0</v>
      </c>
      <c r="AP559" s="81">
        <v>0</v>
      </c>
      <c r="AQ559" s="81">
        <v>0</v>
      </c>
      <c r="AR559" s="81">
        <v>0</v>
      </c>
      <c r="AS559" s="81">
        <v>0</v>
      </c>
      <c r="AT559" s="81">
        <v>0</v>
      </c>
      <c r="AU559" s="81">
        <v>0</v>
      </c>
      <c r="AV559" s="81">
        <v>0</v>
      </c>
      <c r="AW559" s="81">
        <v>0</v>
      </c>
      <c r="AX559" s="81">
        <v>0</v>
      </c>
      <c r="AY559" s="81">
        <v>0</v>
      </c>
      <c r="AZ559" s="81">
        <v>0</v>
      </c>
      <c r="BA559" s="81">
        <v>0</v>
      </c>
      <c r="BB559" s="81">
        <v>0</v>
      </c>
      <c r="BC559" s="81">
        <v>0</v>
      </c>
      <c r="BD559" s="81">
        <v>0</v>
      </c>
      <c r="BE559" s="81">
        <v>0</v>
      </c>
      <c r="BF559" s="81">
        <v>0</v>
      </c>
      <c r="BG559" s="81">
        <v>0</v>
      </c>
      <c r="BH559" s="81">
        <v>-1273</v>
      </c>
      <c r="BI559" s="81">
        <v>-1266</v>
      </c>
      <c r="BJ559" s="81">
        <v>-1263</v>
      </c>
      <c r="BK559" s="81"/>
      <c r="BL559" s="81"/>
      <c r="BM559" s="81"/>
      <c r="BN559" s="81"/>
      <c r="BO559" s="81"/>
      <c r="BS559" s="81">
        <v>0</v>
      </c>
      <c r="BT559" s="81">
        <v>0</v>
      </c>
      <c r="BU559" s="81">
        <v>0</v>
      </c>
      <c r="BV559" s="81">
        <v>0</v>
      </c>
      <c r="BW559" s="81">
        <v>0</v>
      </c>
      <c r="BX559" s="81">
        <v>0</v>
      </c>
      <c r="BY559" s="81">
        <v>0</v>
      </c>
      <c r="BZ559" s="81">
        <v>0</v>
      </c>
      <c r="CA559" s="81">
        <v>0</v>
      </c>
      <c r="CB559" s="81">
        <v>0</v>
      </c>
      <c r="CC559" s="64">
        <f>+SUM(AN559:AQ559)</f>
        <v>0</v>
      </c>
      <c r="CD559" s="64">
        <f>+SUM(AR559:AU559)</f>
        <v>0</v>
      </c>
      <c r="CE559" s="64">
        <f>+SUM(AV559:AY559)</f>
        <v>0</v>
      </c>
      <c r="CF559" s="64">
        <f>+SUM(AZ559:BC559)</f>
        <v>0</v>
      </c>
      <c r="CG559" s="64">
        <f>+SUM(BD559:BG559)</f>
        <v>0</v>
      </c>
      <c r="CH559" s="64"/>
      <c r="CI559" s="64"/>
    </row>
    <row r="560" spans="2:87" x14ac:dyDescent="0.2">
      <c r="B560" t="s">
        <v>180</v>
      </c>
      <c r="H560" s="81">
        <v>1</v>
      </c>
      <c r="I560" s="81">
        <v>7</v>
      </c>
      <c r="J560" s="81">
        <v>7</v>
      </c>
      <c r="K560" s="81">
        <v>155</v>
      </c>
      <c r="L560" s="81">
        <v>62</v>
      </c>
      <c r="M560" s="81">
        <v>20</v>
      </c>
      <c r="N560" s="81">
        <v>123</v>
      </c>
      <c r="O560" s="81">
        <v>0</v>
      </c>
      <c r="P560" s="81">
        <v>0</v>
      </c>
      <c r="Q560" s="81">
        <v>0</v>
      </c>
      <c r="R560" s="81">
        <v>0</v>
      </c>
      <c r="S560" s="81">
        <v>0</v>
      </c>
      <c r="T560" s="81">
        <v>0</v>
      </c>
      <c r="U560" s="81">
        <v>0</v>
      </c>
      <c r="V560" s="81">
        <v>0</v>
      </c>
      <c r="W560" s="81">
        <v>0</v>
      </c>
      <c r="X560" s="81">
        <v>0</v>
      </c>
      <c r="Y560" s="81">
        <v>0</v>
      </c>
      <c r="Z560" s="81">
        <v>0</v>
      </c>
      <c r="AA560" s="81">
        <v>0</v>
      </c>
      <c r="AB560" s="81">
        <v>0</v>
      </c>
      <c r="AC560" s="81">
        <v>0</v>
      </c>
      <c r="AD560" s="81">
        <v>0</v>
      </c>
      <c r="AE560" s="81">
        <v>0</v>
      </c>
      <c r="AF560" s="81">
        <v>0</v>
      </c>
      <c r="AG560" s="81">
        <v>0</v>
      </c>
      <c r="AH560" s="81">
        <v>0</v>
      </c>
      <c r="AI560" s="81">
        <v>0</v>
      </c>
      <c r="AJ560" s="81">
        <v>0</v>
      </c>
      <c r="AK560" s="81">
        <v>0</v>
      </c>
      <c r="AL560" s="81">
        <v>0</v>
      </c>
      <c r="AM560" s="81">
        <v>0</v>
      </c>
      <c r="AN560" s="81">
        <v>0</v>
      </c>
      <c r="AO560" s="81">
        <v>0</v>
      </c>
      <c r="AP560" s="81">
        <v>0</v>
      </c>
      <c r="AQ560" s="81">
        <v>0</v>
      </c>
      <c r="AR560" s="81">
        <v>0</v>
      </c>
      <c r="AS560" s="81">
        <v>0</v>
      </c>
      <c r="AT560" s="81">
        <v>0</v>
      </c>
      <c r="AU560" s="81">
        <v>0</v>
      </c>
      <c r="AV560" s="81">
        <v>0</v>
      </c>
      <c r="AW560" s="81">
        <v>0</v>
      </c>
      <c r="AX560" s="81">
        <v>0</v>
      </c>
      <c r="AY560" s="81">
        <v>0</v>
      </c>
      <c r="AZ560" s="81">
        <v>0</v>
      </c>
      <c r="BA560" s="81">
        <v>0</v>
      </c>
      <c r="BB560" s="81">
        <v>0</v>
      </c>
      <c r="BC560" s="81">
        <v>0</v>
      </c>
      <c r="BD560" s="81">
        <v>0</v>
      </c>
      <c r="BE560" s="81">
        <v>0</v>
      </c>
      <c r="BF560" s="81">
        <v>0</v>
      </c>
      <c r="BG560" s="81">
        <v>0</v>
      </c>
      <c r="BH560" s="81">
        <v>0</v>
      </c>
      <c r="BI560" s="81">
        <v>0</v>
      </c>
      <c r="BJ560" s="81">
        <v>0</v>
      </c>
      <c r="BK560" s="81"/>
      <c r="BL560" s="81"/>
      <c r="BM560" s="81"/>
      <c r="BN560" s="81"/>
      <c r="BO560" s="81"/>
      <c r="BS560" s="81">
        <v>31</v>
      </c>
      <c r="BT560" s="81">
        <v>0</v>
      </c>
      <c r="BU560" s="81">
        <v>170</v>
      </c>
      <c r="BV560" s="81">
        <v>205</v>
      </c>
      <c r="BW560" s="81">
        <v>0</v>
      </c>
      <c r="BX560" s="81">
        <v>0</v>
      </c>
      <c r="BY560" s="81">
        <v>0</v>
      </c>
      <c r="BZ560" s="81">
        <v>0</v>
      </c>
      <c r="CA560" s="81">
        <v>0</v>
      </c>
      <c r="CB560" s="81">
        <v>0</v>
      </c>
      <c r="CC560" s="64">
        <f t="shared" si="900"/>
        <v>0</v>
      </c>
      <c r="CD560" s="64">
        <f t="shared" si="915"/>
        <v>0</v>
      </c>
      <c r="CE560" s="64">
        <f t="shared" si="916"/>
        <v>0</v>
      </c>
      <c r="CF560" s="64">
        <f t="shared" si="917"/>
        <v>0</v>
      </c>
      <c r="CG560" s="64">
        <f t="shared" si="918"/>
        <v>0</v>
      </c>
      <c r="CH560" s="64"/>
      <c r="CI560" s="64"/>
    </row>
    <row r="561" spans="2:87" x14ac:dyDescent="0.2">
      <c r="B561" t="s">
        <v>181</v>
      </c>
      <c r="H561" s="81">
        <v>0</v>
      </c>
      <c r="I561" s="81">
        <v>0</v>
      </c>
      <c r="J561" s="81">
        <v>0</v>
      </c>
      <c r="K561" s="81">
        <v>0</v>
      </c>
      <c r="L561" s="81">
        <v>0</v>
      </c>
      <c r="M561" s="81">
        <v>0</v>
      </c>
      <c r="N561" s="81">
        <v>0</v>
      </c>
      <c r="O561" s="81">
        <v>0</v>
      </c>
      <c r="P561" s="81">
        <v>0</v>
      </c>
      <c r="Q561" s="81">
        <v>0</v>
      </c>
      <c r="R561" s="81">
        <v>0</v>
      </c>
      <c r="S561" s="81">
        <v>0</v>
      </c>
      <c r="T561" s="81">
        <v>0</v>
      </c>
      <c r="U561" s="81">
        <v>0</v>
      </c>
      <c r="V561" s="81">
        <v>0</v>
      </c>
      <c r="W561" s="81">
        <v>0</v>
      </c>
      <c r="X561" s="81">
        <v>0</v>
      </c>
      <c r="Y561" s="81">
        <v>0</v>
      </c>
      <c r="Z561" s="81">
        <v>0</v>
      </c>
      <c r="AA561" s="81">
        <v>0</v>
      </c>
      <c r="AB561" s="81">
        <v>0</v>
      </c>
      <c r="AC561" s="81">
        <v>0</v>
      </c>
      <c r="AD561" s="81">
        <v>0</v>
      </c>
      <c r="AE561" s="81">
        <v>0</v>
      </c>
      <c r="AF561" s="81">
        <v>0</v>
      </c>
      <c r="AG561" s="81">
        <v>0</v>
      </c>
      <c r="AH561" s="81">
        <v>0</v>
      </c>
      <c r="AI561" s="81">
        <v>0</v>
      </c>
      <c r="AJ561" s="81">
        <v>0</v>
      </c>
      <c r="AK561" s="81">
        <v>0</v>
      </c>
      <c r="AL561" s="81">
        <v>0</v>
      </c>
      <c r="AM561" s="81">
        <v>500</v>
      </c>
      <c r="AN561" s="81">
        <v>-177</v>
      </c>
      <c r="AO561" s="81">
        <v>58</v>
      </c>
      <c r="AP561" s="81">
        <v>-141</v>
      </c>
      <c r="AQ561" s="81">
        <v>37</v>
      </c>
      <c r="AR561" s="81">
        <v>-80</v>
      </c>
      <c r="AS561" s="81">
        <v>63</v>
      </c>
      <c r="AT561" s="81">
        <v>-8</v>
      </c>
      <c r="AU561" s="81">
        <v>48</v>
      </c>
      <c r="AV561" s="81">
        <v>-50</v>
      </c>
      <c r="AW561" s="81">
        <v>53</v>
      </c>
      <c r="AX561" s="81">
        <v>11</v>
      </c>
      <c r="AY561" s="81">
        <v>11</v>
      </c>
      <c r="AZ561" s="81">
        <v>20</v>
      </c>
      <c r="BA561" s="81">
        <v>-79</v>
      </c>
      <c r="BB561" s="81">
        <v>-191</v>
      </c>
      <c r="BC561" s="81">
        <v>0</v>
      </c>
      <c r="BD561" s="81">
        <v>0</v>
      </c>
      <c r="BE561" s="81">
        <v>0</v>
      </c>
      <c r="BF561" s="81">
        <v>0</v>
      </c>
      <c r="BG561" s="81">
        <v>0</v>
      </c>
      <c r="BH561" s="81">
        <v>0</v>
      </c>
      <c r="BI561" s="81">
        <v>0</v>
      </c>
      <c r="BJ561" s="81">
        <v>0</v>
      </c>
      <c r="BK561" s="81"/>
      <c r="BL561" s="81"/>
      <c r="BM561" s="81"/>
      <c r="BN561" s="81"/>
      <c r="BO561" s="81"/>
      <c r="BS561" s="81">
        <v>0</v>
      </c>
      <c r="BT561" s="81">
        <v>0</v>
      </c>
      <c r="BU561" s="81">
        <v>0</v>
      </c>
      <c r="BV561" s="81">
        <v>0</v>
      </c>
      <c r="BW561" s="81">
        <v>0</v>
      </c>
      <c r="BX561" s="81">
        <v>0</v>
      </c>
      <c r="BY561" s="81">
        <v>0</v>
      </c>
      <c r="BZ561" s="81">
        <v>0</v>
      </c>
      <c r="CA561" s="81">
        <v>0</v>
      </c>
      <c r="CB561" s="81">
        <v>500</v>
      </c>
      <c r="CC561" s="64">
        <f t="shared" si="900"/>
        <v>-223</v>
      </c>
      <c r="CD561" s="64">
        <f t="shared" si="915"/>
        <v>23</v>
      </c>
      <c r="CE561" s="64">
        <f t="shared" si="916"/>
        <v>25</v>
      </c>
      <c r="CF561" s="64">
        <f t="shared" si="917"/>
        <v>-250</v>
      </c>
      <c r="CG561" s="64">
        <f t="shared" si="918"/>
        <v>0</v>
      </c>
      <c r="CH561" s="64"/>
      <c r="CI561" s="64"/>
    </row>
    <row r="562" spans="2:87" ht="13.5" x14ac:dyDescent="0.35">
      <c r="B562" t="s">
        <v>182</v>
      </c>
      <c r="H562" s="82">
        <v>0</v>
      </c>
      <c r="I562" s="82">
        <v>0</v>
      </c>
      <c r="J562" s="82">
        <v>0</v>
      </c>
      <c r="K562" s="82">
        <v>0</v>
      </c>
      <c r="L562" s="82">
        <v>0</v>
      </c>
      <c r="M562" s="82">
        <v>0</v>
      </c>
      <c r="N562" s="82">
        <v>0</v>
      </c>
      <c r="O562" s="82">
        <v>0</v>
      </c>
      <c r="P562" s="82">
        <v>0</v>
      </c>
      <c r="Q562" s="82">
        <v>0</v>
      </c>
      <c r="R562" s="82">
        <v>0</v>
      </c>
      <c r="S562" s="82">
        <v>0</v>
      </c>
      <c r="T562" s="82">
        <v>0</v>
      </c>
      <c r="U562" s="82">
        <v>0</v>
      </c>
      <c r="V562" s="82">
        <v>0</v>
      </c>
      <c r="W562" s="82">
        <v>-55</v>
      </c>
      <c r="X562" s="82">
        <v>-5</v>
      </c>
      <c r="Y562" s="82">
        <v>-7</v>
      </c>
      <c r="Z562" s="82">
        <v>-8</v>
      </c>
      <c r="AA562" s="82">
        <v>20</v>
      </c>
      <c r="AB562" s="82">
        <v>2</v>
      </c>
      <c r="AC562" s="82">
        <v>4</v>
      </c>
      <c r="AD562" s="82">
        <v>-2</v>
      </c>
      <c r="AE562" s="82">
        <v>4</v>
      </c>
      <c r="AF562" s="82">
        <v>7</v>
      </c>
      <c r="AG562" s="82">
        <v>5</v>
      </c>
      <c r="AH562" s="82">
        <v>-26</v>
      </c>
      <c r="AI562" s="82">
        <v>1</v>
      </c>
      <c r="AJ562" s="82">
        <v>3</v>
      </c>
      <c r="AK562" s="82">
        <v>4</v>
      </c>
      <c r="AL562" s="82">
        <v>4</v>
      </c>
      <c r="AM562" s="82">
        <v>4</v>
      </c>
      <c r="AN562" s="82">
        <v>4</v>
      </c>
      <c r="AO562" s="82">
        <v>4</v>
      </c>
      <c r="AP562" s="82">
        <v>5</v>
      </c>
      <c r="AQ562" s="82">
        <v>2</v>
      </c>
      <c r="AR562" s="82">
        <v>98</v>
      </c>
      <c r="AS562" s="82">
        <v>16</v>
      </c>
      <c r="AT562" s="82">
        <v>10</v>
      </c>
      <c r="AU562" s="82">
        <v>0</v>
      </c>
      <c r="AV562" s="82">
        <v>32</v>
      </c>
      <c r="AW562" s="82">
        <v>-45</v>
      </c>
      <c r="AX562" s="82">
        <v>0</v>
      </c>
      <c r="AY562" s="82">
        <v>0</v>
      </c>
      <c r="AZ562" s="82">
        <v>-16</v>
      </c>
      <c r="BA562" s="82">
        <v>-30</v>
      </c>
      <c r="BB562" s="82">
        <v>-55</v>
      </c>
      <c r="BC562" s="82">
        <v>695</v>
      </c>
      <c r="BD562" s="82">
        <v>122</v>
      </c>
      <c r="BE562" s="82">
        <v>-353</v>
      </c>
      <c r="BF562" s="82">
        <v>49</v>
      </c>
      <c r="BG562" s="82">
        <v>71</v>
      </c>
      <c r="BH562" s="82">
        <v>-9</v>
      </c>
      <c r="BI562" s="82">
        <v>-106</v>
      </c>
      <c r="BJ562" s="82">
        <v>-234</v>
      </c>
      <c r="BK562" s="82"/>
      <c r="BL562" s="82"/>
      <c r="BM562" s="82"/>
      <c r="BN562" s="82"/>
      <c r="BO562" s="82"/>
      <c r="BS562" s="82">
        <v>0</v>
      </c>
      <c r="BT562" s="82">
        <v>0</v>
      </c>
      <c r="BU562" s="82">
        <v>0</v>
      </c>
      <c r="BV562" s="82">
        <v>0</v>
      </c>
      <c r="BW562" s="82">
        <v>0</v>
      </c>
      <c r="BX562" s="82">
        <v>-55</v>
      </c>
      <c r="BY562" s="82">
        <v>0</v>
      </c>
      <c r="BZ562" s="82">
        <v>8</v>
      </c>
      <c r="CA562" s="82">
        <v>-13</v>
      </c>
      <c r="CB562" s="82">
        <v>15</v>
      </c>
      <c r="CC562" s="65">
        <f t="shared" si="900"/>
        <v>15</v>
      </c>
      <c r="CD562" s="65">
        <f t="shared" si="915"/>
        <v>124</v>
      </c>
      <c r="CE562" s="65">
        <f t="shared" si="916"/>
        <v>-13</v>
      </c>
      <c r="CF562" s="65">
        <f t="shared" si="917"/>
        <v>594</v>
      </c>
      <c r="CG562" s="65">
        <f t="shared" si="918"/>
        <v>-111</v>
      </c>
      <c r="CH562" s="65"/>
      <c r="CI562" s="65"/>
    </row>
    <row r="563" spans="2:87" s="44" customFormat="1" x14ac:dyDescent="0.2">
      <c r="B563" s="110" t="s">
        <v>183</v>
      </c>
      <c r="H563" s="111">
        <f>SUM(H551:H562)</f>
        <v>798</v>
      </c>
      <c r="I563" s="111">
        <f t="shared" ref="I563:AT563" si="919">SUM(I551:I562)</f>
        <v>255</v>
      </c>
      <c r="J563" s="111">
        <f t="shared" si="919"/>
        <v>14</v>
      </c>
      <c r="K563" s="111">
        <f t="shared" si="919"/>
        <v>131</v>
      </c>
      <c r="L563" s="111">
        <f t="shared" si="919"/>
        <v>50</v>
      </c>
      <c r="M563" s="111">
        <f t="shared" si="919"/>
        <v>7040</v>
      </c>
      <c r="N563" s="111">
        <f t="shared" si="919"/>
        <v>507</v>
      </c>
      <c r="O563" s="111">
        <f t="shared" si="919"/>
        <v>-1314</v>
      </c>
      <c r="P563" s="111">
        <f t="shared" si="919"/>
        <v>-444</v>
      </c>
      <c r="Q563" s="111">
        <f t="shared" si="919"/>
        <v>-149</v>
      </c>
      <c r="R563" s="111">
        <f t="shared" si="919"/>
        <v>-1599</v>
      </c>
      <c r="S563" s="111">
        <f t="shared" si="919"/>
        <v>1525</v>
      </c>
      <c r="T563" s="111">
        <f t="shared" si="919"/>
        <v>262</v>
      </c>
      <c r="U563" s="111">
        <f t="shared" si="919"/>
        <v>470</v>
      </c>
      <c r="V563" s="111">
        <f t="shared" si="919"/>
        <v>438</v>
      </c>
      <c r="W563" s="111">
        <f t="shared" si="919"/>
        <v>-1468</v>
      </c>
      <c r="X563" s="111">
        <f t="shared" si="919"/>
        <v>371</v>
      </c>
      <c r="Y563" s="111">
        <f t="shared" si="919"/>
        <v>342</v>
      </c>
      <c r="Z563" s="111">
        <f t="shared" si="919"/>
        <v>315</v>
      </c>
      <c r="AA563" s="111">
        <f t="shared" si="919"/>
        <v>-1167</v>
      </c>
      <c r="AB563" s="111">
        <f t="shared" si="919"/>
        <v>-310</v>
      </c>
      <c r="AC563" s="111">
        <f t="shared" si="919"/>
        <v>4</v>
      </c>
      <c r="AD563" s="111">
        <f t="shared" si="919"/>
        <v>-8</v>
      </c>
      <c r="AE563" s="111">
        <f t="shared" si="919"/>
        <v>4</v>
      </c>
      <c r="AF563" s="111">
        <f t="shared" si="919"/>
        <v>-992</v>
      </c>
      <c r="AG563" s="111">
        <f t="shared" si="919"/>
        <v>-869</v>
      </c>
      <c r="AH563" s="111">
        <f t="shared" si="919"/>
        <v>-1531</v>
      </c>
      <c r="AI563" s="111">
        <f t="shared" si="919"/>
        <v>-1843</v>
      </c>
      <c r="AJ563" s="111">
        <f t="shared" si="919"/>
        <v>-2603</v>
      </c>
      <c r="AK563" s="111">
        <f t="shared" si="919"/>
        <v>-4272</v>
      </c>
      <c r="AL563" s="111">
        <f t="shared" si="919"/>
        <v>-5157</v>
      </c>
      <c r="AM563" s="111">
        <f t="shared" si="919"/>
        <v>-3541</v>
      </c>
      <c r="AN563" s="111">
        <f t="shared" si="919"/>
        <v>-1423</v>
      </c>
      <c r="AO563" s="111">
        <f t="shared" si="919"/>
        <v>-1830</v>
      </c>
      <c r="AP563" s="111">
        <f t="shared" si="919"/>
        <v>-2019</v>
      </c>
      <c r="AQ563" s="111">
        <f t="shared" si="919"/>
        <v>-2025</v>
      </c>
      <c r="AR563" s="111">
        <f t="shared" si="919"/>
        <v>-2022</v>
      </c>
      <c r="AS563" s="111">
        <f t="shared" si="919"/>
        <v>-2152</v>
      </c>
      <c r="AT563" s="111">
        <f t="shared" si="919"/>
        <v>-2912</v>
      </c>
      <c r="AU563" s="111">
        <f t="shared" ref="AU563:AZ563" si="920">SUM(AU551:AU562)</f>
        <v>-3206</v>
      </c>
      <c r="AV563" s="111">
        <f t="shared" si="920"/>
        <v>-5185</v>
      </c>
      <c r="AW563" s="111">
        <f t="shared" si="920"/>
        <v>-8548</v>
      </c>
      <c r="AX563" s="111">
        <f t="shared" si="920"/>
        <v>-15253</v>
      </c>
      <c r="AY563" s="111">
        <f t="shared" si="920"/>
        <v>-21731</v>
      </c>
      <c r="AZ563" s="111">
        <f t="shared" si="920"/>
        <v>-10660</v>
      </c>
      <c r="BA563" s="111">
        <f t="shared" ref="BA563:BI563" si="921">SUM(BA551:BA562)</f>
        <v>-6563</v>
      </c>
      <c r="BB563" s="111">
        <f t="shared" si="921"/>
        <v>2147</v>
      </c>
      <c r="BC563" s="111">
        <f t="shared" si="921"/>
        <v>-7059</v>
      </c>
      <c r="BD563" s="111">
        <f t="shared" si="921"/>
        <v>-10516</v>
      </c>
      <c r="BE563" s="111">
        <f t="shared" si="921"/>
        <v>5292</v>
      </c>
      <c r="BF563" s="111">
        <f t="shared" si="921"/>
        <v>-5875</v>
      </c>
      <c r="BG563" s="111">
        <f t="shared" si="921"/>
        <v>-8401</v>
      </c>
      <c r="BH563" s="111">
        <f t="shared" si="921"/>
        <v>-19767</v>
      </c>
      <c r="BI563" s="111">
        <f t="shared" si="921"/>
        <v>-11178</v>
      </c>
      <c r="BJ563" s="111">
        <f t="shared" ref="BJ563" si="922">SUM(BJ551:BJ562)</f>
        <v>-4371</v>
      </c>
      <c r="BK563" s="111"/>
      <c r="BL563" s="111"/>
      <c r="BM563" s="111"/>
      <c r="BN563" s="111"/>
      <c r="BO563" s="111"/>
      <c r="BS563" s="111">
        <f>SUM(BS551:BS562)</f>
        <v>243</v>
      </c>
      <c r="BT563" s="111">
        <f t="shared" ref="BT563:CB563" si="923">SUM(BT551:BT562)</f>
        <v>781</v>
      </c>
      <c r="BU563" s="111">
        <f t="shared" si="923"/>
        <v>1198</v>
      </c>
      <c r="BV563" s="111">
        <f t="shared" si="923"/>
        <v>6283</v>
      </c>
      <c r="BW563" s="111">
        <f t="shared" si="923"/>
        <v>-667</v>
      </c>
      <c r="BX563" s="111">
        <f t="shared" si="923"/>
        <v>-298</v>
      </c>
      <c r="BY563" s="111">
        <f t="shared" si="923"/>
        <v>-139</v>
      </c>
      <c r="BZ563" s="111">
        <f t="shared" si="923"/>
        <v>-310</v>
      </c>
      <c r="CA563" s="111">
        <f t="shared" si="923"/>
        <v>-5235</v>
      </c>
      <c r="CB563" s="111">
        <f t="shared" si="923"/>
        <v>-15572</v>
      </c>
      <c r="CC563" s="111">
        <f t="shared" si="900"/>
        <v>-7297</v>
      </c>
      <c r="CD563" s="111">
        <f t="shared" si="915"/>
        <v>-10292</v>
      </c>
      <c r="CE563" s="111">
        <f t="shared" si="916"/>
        <v>-50717</v>
      </c>
      <c r="CF563" s="111">
        <f t="shared" si="917"/>
        <v>-22135</v>
      </c>
      <c r="CG563" s="111">
        <f t="shared" si="918"/>
        <v>-19500</v>
      </c>
      <c r="CH563" s="111"/>
      <c r="CI563" s="111"/>
    </row>
    <row r="565" spans="2:87" ht="13.5" x14ac:dyDescent="0.35">
      <c r="B565" t="s">
        <v>184</v>
      </c>
      <c r="H565" s="81">
        <v>1</v>
      </c>
      <c r="I565" s="81">
        <v>3</v>
      </c>
      <c r="J565" s="81">
        <v>-9</v>
      </c>
      <c r="K565" s="81">
        <v>8</v>
      </c>
      <c r="L565" s="81">
        <v>-1</v>
      </c>
      <c r="M565" s="81">
        <v>-14</v>
      </c>
      <c r="N565" s="81">
        <v>12</v>
      </c>
      <c r="O565" s="81">
        <v>4</v>
      </c>
      <c r="P565" s="81">
        <v>-8</v>
      </c>
      <c r="Q565" s="81">
        <v>1</v>
      </c>
      <c r="R565" s="81">
        <v>14</v>
      </c>
      <c r="S565" s="81">
        <v>1</v>
      </c>
      <c r="T565" s="81">
        <v>0</v>
      </c>
      <c r="U565" s="81">
        <v>-3</v>
      </c>
      <c r="V565" s="81">
        <v>-68</v>
      </c>
      <c r="W565" s="81">
        <v>-52</v>
      </c>
      <c r="X565" s="81">
        <v>-123</v>
      </c>
      <c r="Y565" s="81">
        <v>46</v>
      </c>
      <c r="Z565" s="81">
        <v>-22</v>
      </c>
      <c r="AA565" s="81">
        <v>-56</v>
      </c>
      <c r="AB565" s="81">
        <v>58</v>
      </c>
      <c r="AC565" s="81">
        <v>-46</v>
      </c>
      <c r="AD565" s="81">
        <v>19</v>
      </c>
      <c r="AE565" s="81">
        <v>-94</v>
      </c>
      <c r="AF565" s="81">
        <v>26</v>
      </c>
      <c r="AG565" s="81">
        <v>97</v>
      </c>
      <c r="AH565" s="81">
        <v>67</v>
      </c>
      <c r="AI565" s="81">
        <v>43</v>
      </c>
      <c r="AJ565" s="82">
        <v>36</v>
      </c>
      <c r="AK565" s="82">
        <v>-186</v>
      </c>
      <c r="AL565" s="82">
        <v>-18</v>
      </c>
      <c r="AM565" s="82">
        <v>-12</v>
      </c>
      <c r="AN565" s="82">
        <v>-44</v>
      </c>
      <c r="AO565" s="82">
        <v>26</v>
      </c>
      <c r="AP565" s="82">
        <v>-156</v>
      </c>
      <c r="AQ565" s="82">
        <v>177</v>
      </c>
      <c r="AR565" s="82">
        <v>-222</v>
      </c>
      <c r="AS565" s="82">
        <v>93</v>
      </c>
      <c r="AT565" s="82">
        <v>93</v>
      </c>
      <c r="AU565" s="82">
        <v>314</v>
      </c>
      <c r="AV565" s="82">
        <v>-246</v>
      </c>
      <c r="AW565" s="82">
        <v>117</v>
      </c>
      <c r="AX565" s="82">
        <v>-215</v>
      </c>
      <c r="AY565" s="82">
        <v>-130</v>
      </c>
      <c r="AZ565" s="82">
        <v>-149</v>
      </c>
      <c r="BA565" s="82">
        <v>-550</v>
      </c>
      <c r="BB565" s="82">
        <v>-364</v>
      </c>
      <c r="BC565" s="82">
        <v>424</v>
      </c>
      <c r="BD565" s="82">
        <v>85</v>
      </c>
      <c r="BE565" s="82">
        <v>-14</v>
      </c>
      <c r="BF565" s="82">
        <v>-354</v>
      </c>
      <c r="BG565" s="82">
        <v>396</v>
      </c>
      <c r="BH565" s="82">
        <v>-288</v>
      </c>
      <c r="BI565" s="82">
        <v>-152</v>
      </c>
      <c r="BJ565" s="82">
        <v>368</v>
      </c>
      <c r="BK565" s="82"/>
      <c r="BL565" s="82"/>
      <c r="BM565" s="82"/>
      <c r="BN565" s="82"/>
      <c r="BO565" s="82"/>
      <c r="BP565" s="112"/>
      <c r="BQ565" s="112"/>
      <c r="BR565" s="112"/>
      <c r="BS565" s="82">
        <v>0</v>
      </c>
      <c r="BT565" s="82">
        <v>-3</v>
      </c>
      <c r="BU565" s="82">
        <v>3</v>
      </c>
      <c r="BV565" s="82">
        <v>1</v>
      </c>
      <c r="BW565" s="82">
        <v>8</v>
      </c>
      <c r="BX565" s="82">
        <v>-123</v>
      </c>
      <c r="BY565" s="82">
        <v>-155</v>
      </c>
      <c r="BZ565" s="82">
        <v>-63</v>
      </c>
      <c r="CA565" s="82">
        <v>233</v>
      </c>
      <c r="CB565" s="82">
        <v>-179</v>
      </c>
      <c r="CC565" s="65">
        <f t="shared" si="900"/>
        <v>3</v>
      </c>
      <c r="CD565" s="65">
        <f t="shared" ref="CD565:CD573" si="924">+SUM(AR565:AU565)</f>
        <v>278</v>
      </c>
      <c r="CE565" s="65">
        <f>+SUM(AV565:AY565)</f>
        <v>-474</v>
      </c>
      <c r="CF565" s="65">
        <f>+SUM(AZ565:BC565)</f>
        <v>-639</v>
      </c>
      <c r="CG565" s="65">
        <f>+SUM(BD565:BG565)</f>
        <v>113</v>
      </c>
      <c r="CH565" s="65"/>
      <c r="CI565" s="65"/>
    </row>
    <row r="566" spans="2:87" s="44" customFormat="1" x14ac:dyDescent="0.2">
      <c r="B566" s="110" t="s">
        <v>246</v>
      </c>
      <c r="H566" s="111">
        <f t="shared" ref="H566:AW566" si="925">+H539+H549+H563+H565</f>
        <v>991</v>
      </c>
      <c r="I566" s="111">
        <f t="shared" si="925"/>
        <v>-1645</v>
      </c>
      <c r="J566" s="111">
        <f t="shared" si="925"/>
        <v>-225</v>
      </c>
      <c r="K566" s="111">
        <f t="shared" si="925"/>
        <v>606</v>
      </c>
      <c r="L566" s="111">
        <f t="shared" si="925"/>
        <v>-230</v>
      </c>
      <c r="M566" s="111">
        <f t="shared" si="925"/>
        <v>816</v>
      </c>
      <c r="N566" s="111">
        <f t="shared" si="925"/>
        <v>380</v>
      </c>
      <c r="O566" s="111">
        <f t="shared" si="925"/>
        <v>-94</v>
      </c>
      <c r="P566" s="111">
        <f t="shared" si="925"/>
        <v>-59</v>
      </c>
      <c r="Q566" s="111">
        <f t="shared" si="925"/>
        <v>676</v>
      </c>
      <c r="R566" s="111">
        <f t="shared" si="925"/>
        <v>99</v>
      </c>
      <c r="S566" s="111">
        <f t="shared" si="925"/>
        <v>223</v>
      </c>
      <c r="T566" s="111">
        <f t="shared" si="925"/>
        <v>-325</v>
      </c>
      <c r="U566" s="111">
        <f t="shared" si="925"/>
        <v>1386</v>
      </c>
      <c r="V566" s="111">
        <f t="shared" si="925"/>
        <v>4615</v>
      </c>
      <c r="W566" s="111">
        <f t="shared" si="925"/>
        <v>-4684</v>
      </c>
      <c r="X566" s="111">
        <f t="shared" si="925"/>
        <v>-896</v>
      </c>
      <c r="Y566" s="111">
        <f t="shared" si="925"/>
        <v>1704</v>
      </c>
      <c r="Z566" s="111">
        <f t="shared" si="925"/>
        <v>-815</v>
      </c>
      <c r="AA566" s="111">
        <f t="shared" si="925"/>
        <v>599</v>
      </c>
      <c r="AB566" s="111">
        <f t="shared" si="925"/>
        <v>1549</v>
      </c>
      <c r="AC566" s="111">
        <f t="shared" si="925"/>
        <v>-1348</v>
      </c>
      <c r="AD566" s="111">
        <f t="shared" si="925"/>
        <v>930</v>
      </c>
      <c r="AE566" s="111">
        <f t="shared" si="925"/>
        <v>2865</v>
      </c>
      <c r="AF566" s="111">
        <f t="shared" si="925"/>
        <v>-1799</v>
      </c>
      <c r="AG566" s="111">
        <f t="shared" si="925"/>
        <v>-852</v>
      </c>
      <c r="AH566" s="111">
        <f t="shared" si="925"/>
        <v>949</v>
      </c>
      <c r="AI566" s="111">
        <f t="shared" si="925"/>
        <v>878</v>
      </c>
      <c r="AJ566" s="111">
        <f t="shared" si="925"/>
        <v>4006</v>
      </c>
      <c r="AK566" s="111">
        <f t="shared" si="925"/>
        <v>-542</v>
      </c>
      <c r="AL566" s="111">
        <f t="shared" si="925"/>
        <v>-1924</v>
      </c>
      <c r="AM566" s="111">
        <f t="shared" si="925"/>
        <v>380</v>
      </c>
      <c r="AN566" s="111">
        <f t="shared" si="925"/>
        <v>1073</v>
      </c>
      <c r="AO566" s="111">
        <f t="shared" si="925"/>
        <v>2801</v>
      </c>
      <c r="AP566" s="111">
        <f t="shared" si="925"/>
        <v>2082</v>
      </c>
      <c r="AQ566" s="111">
        <f t="shared" si="925"/>
        <v>3199</v>
      </c>
      <c r="AR566" s="111">
        <f t="shared" si="925"/>
        <v>4648</v>
      </c>
      <c r="AS566" s="111">
        <f t="shared" si="925"/>
        <v>-2358</v>
      </c>
      <c r="AT566" s="111">
        <f t="shared" si="925"/>
        <v>-9590</v>
      </c>
      <c r="AU566" s="111">
        <f t="shared" si="925"/>
        <v>5975</v>
      </c>
      <c r="AV566" s="111">
        <f t="shared" si="925"/>
        <v>1937</v>
      </c>
      <c r="AW566" s="111">
        <f t="shared" si="925"/>
        <v>-3380</v>
      </c>
      <c r="AX566" s="111">
        <f t="shared" ref="AX566:BI566" si="926">+AX539+AX549+AX563+AX565</f>
        <v>-1707</v>
      </c>
      <c r="AY566" s="111">
        <f t="shared" si="926"/>
        <v>2072</v>
      </c>
      <c r="AZ566" s="111">
        <f t="shared" si="926"/>
        <v>-1512</v>
      </c>
      <c r="BA566" s="111">
        <f t="shared" si="926"/>
        <v>-1875</v>
      </c>
      <c r="BB566" s="111">
        <f t="shared" si="926"/>
        <v>1773</v>
      </c>
      <c r="BC566" s="111">
        <f t="shared" si="926"/>
        <v>345</v>
      </c>
      <c r="BD566" s="111">
        <f t="shared" si="926"/>
        <v>-3176</v>
      </c>
      <c r="BE566" s="111">
        <f t="shared" si="926"/>
        <v>17384</v>
      </c>
      <c r="BF566" s="111">
        <f t="shared" si="926"/>
        <v>8096</v>
      </c>
      <c r="BG566" s="111">
        <f t="shared" si="926"/>
        <v>4927</v>
      </c>
      <c r="BH566" s="111">
        <f t="shared" si="926"/>
        <v>-9543</v>
      </c>
      <c r="BI566" s="111">
        <f t="shared" si="926"/>
        <v>-258</v>
      </c>
      <c r="BJ566" s="111">
        <f t="shared" ref="BJ566" si="927">+BJ539+BJ549+BJ563+BJ565</f>
        <v>12101</v>
      </c>
      <c r="BK566" s="111"/>
      <c r="BL566" s="111"/>
      <c r="BM566" s="111"/>
      <c r="BN566" s="111"/>
      <c r="BO566" s="111"/>
      <c r="BS566" s="111">
        <f t="shared" ref="BS566:CB566" si="928">+BS539+BS549+BS563+BS565</f>
        <v>336</v>
      </c>
      <c r="BT566" s="111">
        <f t="shared" si="928"/>
        <v>1152</v>
      </c>
      <c r="BU566" s="111">
        <f t="shared" si="928"/>
        <v>-273</v>
      </c>
      <c r="BV566" s="111">
        <f t="shared" si="928"/>
        <v>872</v>
      </c>
      <c r="BW566" s="111">
        <f t="shared" si="928"/>
        <v>939</v>
      </c>
      <c r="BX566" s="111">
        <f t="shared" si="928"/>
        <v>992</v>
      </c>
      <c r="BY566" s="111">
        <f t="shared" si="928"/>
        <v>592</v>
      </c>
      <c r="BZ566" s="111">
        <f t="shared" si="928"/>
        <v>3996</v>
      </c>
      <c r="CA566" s="111">
        <f t="shared" si="928"/>
        <v>-824</v>
      </c>
      <c r="CB566" s="111">
        <f t="shared" si="928"/>
        <v>1920</v>
      </c>
      <c r="CC566" s="111">
        <f t="shared" si="900"/>
        <v>9155</v>
      </c>
      <c r="CD566" s="111">
        <f t="shared" si="924"/>
        <v>-1325</v>
      </c>
      <c r="CE566" s="111">
        <f>+SUM(AV566:AY566)</f>
        <v>-1078</v>
      </c>
      <c r="CF566" s="111">
        <f>+SUM(AZ566:BC566)</f>
        <v>-1269</v>
      </c>
      <c r="CG566" s="111">
        <f>+SUM(BD566:BG566)</f>
        <v>27231</v>
      </c>
      <c r="CH566" s="111"/>
      <c r="CI566" s="111"/>
    </row>
    <row r="567" spans="2:87" x14ac:dyDescent="0.2">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c r="AE567" s="64"/>
      <c r="AF567" s="64"/>
      <c r="AG567" s="64"/>
      <c r="AH567" s="64"/>
      <c r="AI567" s="64"/>
      <c r="AJ567" s="64"/>
      <c r="AK567" s="64"/>
      <c r="AL567" s="64"/>
      <c r="AM567" s="64"/>
      <c r="AN567" s="64"/>
      <c r="AO567" s="64"/>
      <c r="AP567" s="64"/>
      <c r="AQ567" s="64"/>
      <c r="AR567" s="64"/>
      <c r="AS567" s="64"/>
      <c r="AT567" s="64"/>
      <c r="AU567" s="64"/>
      <c r="AV567" s="64"/>
      <c r="AW567" s="64"/>
      <c r="AX567" s="64"/>
      <c r="AY567" s="64"/>
      <c r="AZ567" s="64"/>
      <c r="BA567" s="64"/>
      <c r="BB567" s="64"/>
      <c r="BC567" s="64"/>
      <c r="BD567" s="64"/>
      <c r="BE567" s="64"/>
      <c r="BF567" s="64"/>
      <c r="BG567" s="64"/>
      <c r="BH567" s="64"/>
      <c r="BI567" s="64"/>
      <c r="BJ567" s="64"/>
      <c r="BK567" s="64"/>
      <c r="BL567" s="64"/>
      <c r="BM567" s="64"/>
      <c r="BN567" s="64"/>
      <c r="BO567" s="64"/>
      <c r="BS567" s="64"/>
      <c r="BT567" s="64"/>
      <c r="BU567" s="64"/>
      <c r="BV567" s="64"/>
      <c r="BW567" s="64"/>
      <c r="BX567" s="64"/>
      <c r="BY567" s="64"/>
      <c r="BZ567" s="64"/>
      <c r="CA567" s="64"/>
    </row>
    <row r="568" spans="2:87" x14ac:dyDescent="0.2">
      <c r="B568" s="54" t="s">
        <v>247</v>
      </c>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c r="AE568" s="64"/>
      <c r="AF568" s="64"/>
      <c r="AG568" s="64"/>
      <c r="AH568" s="64"/>
      <c r="AI568" s="64"/>
      <c r="AJ568" s="64"/>
      <c r="AK568" s="64"/>
      <c r="AL568" s="64"/>
      <c r="AM568" s="64"/>
      <c r="AN568" s="64"/>
      <c r="AO568" s="64"/>
      <c r="AP568" s="64"/>
      <c r="AQ568" s="64"/>
      <c r="AR568" s="64"/>
      <c r="AS568" s="64"/>
      <c r="AT568" s="64"/>
      <c r="AU568" s="64"/>
      <c r="AV568" s="64"/>
      <c r="AW568" s="64"/>
      <c r="AX568" s="64"/>
      <c r="AY568" s="64"/>
      <c r="AZ568" s="64"/>
      <c r="BA568" s="64"/>
      <c r="BB568" s="64"/>
      <c r="BC568" s="64"/>
      <c r="BD568" s="64"/>
      <c r="BE568" s="64"/>
      <c r="BF568" s="64"/>
      <c r="BG568" s="64"/>
      <c r="BH568" s="64"/>
      <c r="BI568" s="64"/>
      <c r="BJ568" s="64"/>
      <c r="BK568" s="64"/>
      <c r="BL568" s="64"/>
      <c r="BM568" s="64"/>
      <c r="BN568" s="64"/>
      <c r="BO568" s="64"/>
      <c r="BS568" s="64"/>
      <c r="BT568" s="64"/>
      <c r="BU568" s="64"/>
      <c r="BV568" s="64"/>
      <c r="BW568" s="64"/>
      <c r="BX568" s="64"/>
      <c r="BY568" s="64"/>
      <c r="BZ568" s="64"/>
      <c r="CA568" s="64"/>
    </row>
    <row r="569" spans="2:87" x14ac:dyDescent="0.2">
      <c r="B569" t="s">
        <v>185</v>
      </c>
      <c r="H569" s="81">
        <v>7</v>
      </c>
      <c r="I569" s="81">
        <v>6</v>
      </c>
      <c r="J569" s="81">
        <v>6</v>
      </c>
      <c r="K569" s="81">
        <v>9</v>
      </c>
      <c r="L569" s="81">
        <v>9</v>
      </c>
      <c r="M569" s="81">
        <v>10</v>
      </c>
      <c r="N569" s="81">
        <v>11</v>
      </c>
      <c r="O569" s="81">
        <v>8</v>
      </c>
      <c r="P569" s="81">
        <v>12</v>
      </c>
      <c r="Q569" s="81">
        <v>14</v>
      </c>
      <c r="R569" s="81">
        <v>7</v>
      </c>
      <c r="S569" s="81">
        <v>5</v>
      </c>
      <c r="T569" s="81">
        <v>4</v>
      </c>
      <c r="U569" s="81">
        <v>4</v>
      </c>
      <c r="V569" s="81">
        <v>3</v>
      </c>
      <c r="W569" s="81">
        <v>3</v>
      </c>
      <c r="X569" s="81">
        <v>3</v>
      </c>
      <c r="Y569" s="81">
        <v>2</v>
      </c>
      <c r="Z569" s="81">
        <v>3</v>
      </c>
      <c r="AA569" s="81">
        <v>2</v>
      </c>
      <c r="AB569" s="81">
        <v>11</v>
      </c>
      <c r="AC569" s="81">
        <v>0</v>
      </c>
      <c r="AD569" s="81">
        <v>0</v>
      </c>
      <c r="AE569" s="81">
        <v>0</v>
      </c>
      <c r="AF569" s="81">
        <v>0</v>
      </c>
      <c r="AG569" s="81">
        <v>0</v>
      </c>
      <c r="AH569" s="81">
        <v>0</v>
      </c>
      <c r="AI569" s="81">
        <v>0</v>
      </c>
      <c r="AJ569" s="81">
        <v>0</v>
      </c>
      <c r="AK569" s="81">
        <v>0</v>
      </c>
      <c r="AL569" s="81">
        <v>0</v>
      </c>
      <c r="AM569" s="81">
        <v>1</v>
      </c>
      <c r="AN569" s="81">
        <v>2</v>
      </c>
      <c r="AO569" s="81">
        <v>3</v>
      </c>
      <c r="AP569" s="81">
        <v>4</v>
      </c>
      <c r="AQ569" s="81">
        <v>0</v>
      </c>
      <c r="AR569" s="81">
        <v>0</v>
      </c>
      <c r="AS569" s="81">
        <v>0</v>
      </c>
      <c r="AT569" s="81">
        <v>0</v>
      </c>
      <c r="AU569" s="81">
        <v>0</v>
      </c>
      <c r="AV569" s="81">
        <v>0</v>
      </c>
      <c r="AW569" s="81">
        <v>0</v>
      </c>
      <c r="AX569" s="81">
        <v>0</v>
      </c>
      <c r="AY569" s="81">
        <v>0</v>
      </c>
      <c r="AZ569" s="81">
        <v>0</v>
      </c>
      <c r="BA569" s="81">
        <v>0</v>
      </c>
      <c r="BB569" s="81">
        <v>0</v>
      </c>
      <c r="BC569" s="81">
        <v>0</v>
      </c>
      <c r="BD569" s="81">
        <v>182</v>
      </c>
      <c r="BE569" s="81">
        <v>0</v>
      </c>
      <c r="BF569" s="81">
        <v>120</v>
      </c>
      <c r="BG569" s="81">
        <v>146</v>
      </c>
      <c r="BH569" s="81">
        <v>121</v>
      </c>
      <c r="BI569" s="81">
        <v>124</v>
      </c>
      <c r="BJ569" s="81">
        <v>111</v>
      </c>
      <c r="BK569" s="81"/>
      <c r="BL569" s="81"/>
      <c r="BM569" s="81"/>
      <c r="BN569" s="81"/>
      <c r="BO569" s="81"/>
      <c r="BS569" s="81">
        <v>9</v>
      </c>
      <c r="BT569" s="81">
        <v>23</v>
      </c>
      <c r="BU569" s="81">
        <v>28</v>
      </c>
      <c r="BV569" s="81">
        <v>38</v>
      </c>
      <c r="BW569" s="81">
        <v>38</v>
      </c>
      <c r="BX569" s="81">
        <v>14</v>
      </c>
      <c r="BY569" s="81">
        <v>10</v>
      </c>
      <c r="BZ569" s="81">
        <v>11</v>
      </c>
      <c r="CA569" s="81">
        <v>0</v>
      </c>
      <c r="CB569" s="81">
        <v>1</v>
      </c>
      <c r="CC569" s="64">
        <f t="shared" si="900"/>
        <v>9</v>
      </c>
      <c r="CD569" s="64">
        <f t="shared" si="924"/>
        <v>0</v>
      </c>
      <c r="CE569" s="64">
        <f>+SUM(AV569:AY569)</f>
        <v>0</v>
      </c>
      <c r="CF569" s="64">
        <f>+SUM(AZ569:BC569)</f>
        <v>0</v>
      </c>
      <c r="CG569" s="64">
        <f>+SUM(BD569:BG569)</f>
        <v>448</v>
      </c>
      <c r="CH569" s="64"/>
      <c r="CI569" s="64"/>
    </row>
    <row r="570" spans="2:87" x14ac:dyDescent="0.2">
      <c r="B570" t="s">
        <v>114</v>
      </c>
      <c r="H570" s="81">
        <v>103</v>
      </c>
      <c r="I570" s="81">
        <v>73</v>
      </c>
      <c r="J570" s="81">
        <v>3</v>
      </c>
      <c r="K570" s="81">
        <v>18</v>
      </c>
      <c r="L570" s="81">
        <v>174</v>
      </c>
      <c r="M570" s="81">
        <v>8</v>
      </c>
      <c r="N570" s="81">
        <v>2</v>
      </c>
      <c r="O570" s="81">
        <f>+BV570-SUM(L570:N570)</f>
        <v>0</v>
      </c>
      <c r="P570" s="81">
        <v>9</v>
      </c>
      <c r="Q570" s="81">
        <v>9</v>
      </c>
      <c r="R570" s="81">
        <f>61-SUM(P570:Q570)</f>
        <v>43</v>
      </c>
      <c r="S570" s="81">
        <f>+BW570-SUM(P570:R570)</f>
        <v>21</v>
      </c>
      <c r="T570" s="83">
        <v>37</v>
      </c>
      <c r="U570" s="83">
        <f>61-T570</f>
        <v>24</v>
      </c>
      <c r="V570" s="83">
        <f>107-SUM(T570:U570)</f>
        <v>46</v>
      </c>
      <c r="W570" s="81">
        <f>+BX570-SUM(T570:V570)</f>
        <v>77</v>
      </c>
      <c r="X570" s="83" t="s">
        <v>127</v>
      </c>
      <c r="Y570" s="83" t="s">
        <v>127</v>
      </c>
      <c r="Z570" s="83" t="s">
        <v>127</v>
      </c>
      <c r="AA570" s="83" t="s">
        <v>127</v>
      </c>
      <c r="AB570" s="83" t="s">
        <v>127</v>
      </c>
      <c r="AC570" s="83" t="s">
        <v>127</v>
      </c>
      <c r="AD570" s="83" t="s">
        <v>127</v>
      </c>
      <c r="AE570" s="83" t="s">
        <v>127</v>
      </c>
      <c r="AF570" s="83" t="s">
        <v>127</v>
      </c>
      <c r="AG570" s="83" t="s">
        <v>127</v>
      </c>
      <c r="AH570" s="83" t="s">
        <v>127</v>
      </c>
      <c r="AI570" s="83" t="s">
        <v>127</v>
      </c>
      <c r="AJ570" s="83" t="s">
        <v>127</v>
      </c>
      <c r="AK570" s="83" t="s">
        <v>127</v>
      </c>
      <c r="AL570" s="83" t="s">
        <v>127</v>
      </c>
      <c r="AM570" s="83" t="s">
        <v>127</v>
      </c>
      <c r="AN570" s="83" t="s">
        <v>127</v>
      </c>
      <c r="AO570" s="83" t="s">
        <v>127</v>
      </c>
      <c r="AP570" s="83" t="s">
        <v>127</v>
      </c>
      <c r="AQ570" s="83" t="s">
        <v>127</v>
      </c>
      <c r="AR570" s="83" t="s">
        <v>127</v>
      </c>
      <c r="AS570" s="83" t="s">
        <v>127</v>
      </c>
      <c r="AT570" s="83" t="s">
        <v>127</v>
      </c>
      <c r="AU570" s="83" t="s">
        <v>127</v>
      </c>
      <c r="AV570" s="83" t="s">
        <v>127</v>
      </c>
      <c r="AW570" s="83" t="s">
        <v>127</v>
      </c>
      <c r="AX570" s="83" t="s">
        <v>127</v>
      </c>
      <c r="AY570" s="83" t="s">
        <v>127</v>
      </c>
      <c r="AZ570" s="83" t="s">
        <v>127</v>
      </c>
      <c r="BA570" s="83" t="s">
        <v>127</v>
      </c>
      <c r="BB570" s="83" t="s">
        <v>127</v>
      </c>
      <c r="BC570" s="83" t="s">
        <v>127</v>
      </c>
      <c r="BD570" s="83" t="s">
        <v>127</v>
      </c>
      <c r="BE570" s="83" t="s">
        <v>127</v>
      </c>
      <c r="BF570" s="83" t="s">
        <v>127</v>
      </c>
      <c r="BG570" s="83" t="s">
        <v>127</v>
      </c>
      <c r="BH570" s="83" t="s">
        <v>127</v>
      </c>
      <c r="BI570" s="83" t="s">
        <v>127</v>
      </c>
      <c r="BJ570" s="83" t="s">
        <v>127</v>
      </c>
      <c r="BK570" s="83"/>
      <c r="BL570" s="83"/>
      <c r="BM570" s="83"/>
      <c r="BN570" s="83"/>
      <c r="BO570" s="83"/>
      <c r="BS570" s="81">
        <v>42</v>
      </c>
      <c r="BT570" s="81">
        <v>261</v>
      </c>
      <c r="BU570" s="81">
        <v>197</v>
      </c>
      <c r="BV570" s="81">
        <v>184</v>
      </c>
      <c r="BW570" s="81">
        <v>82</v>
      </c>
      <c r="BX570" s="81">
        <v>184</v>
      </c>
      <c r="BY570" s="83" t="s">
        <v>127</v>
      </c>
      <c r="BZ570" s="83" t="s">
        <v>127</v>
      </c>
      <c r="CA570" s="83" t="s">
        <v>127</v>
      </c>
      <c r="CB570" s="83" t="s">
        <v>127</v>
      </c>
      <c r="CC570" s="83" t="s">
        <v>127</v>
      </c>
      <c r="CD570" s="83" t="s">
        <v>127</v>
      </c>
      <c r="CE570" s="83" t="s">
        <v>127</v>
      </c>
      <c r="CF570" s="83" t="s">
        <v>127</v>
      </c>
      <c r="CG570" s="83" t="s">
        <v>127</v>
      </c>
      <c r="CH570" s="83"/>
      <c r="CI570" s="83"/>
    </row>
    <row r="571" spans="2:87" ht="13.5" x14ac:dyDescent="0.35">
      <c r="B571" t="s">
        <v>186</v>
      </c>
      <c r="H571" s="82">
        <v>0</v>
      </c>
      <c r="I571" s="82">
        <v>0</v>
      </c>
      <c r="J571" s="82">
        <v>0</v>
      </c>
      <c r="K571" s="82">
        <v>0</v>
      </c>
      <c r="L571" s="82">
        <v>0</v>
      </c>
      <c r="M571" s="82">
        <v>0</v>
      </c>
      <c r="N571" s="82">
        <v>0</v>
      </c>
      <c r="O571" s="82">
        <f>+BV571-SUM(L571:N571)</f>
        <v>131</v>
      </c>
      <c r="P571" s="82">
        <v>0</v>
      </c>
      <c r="Q571" s="82">
        <v>419</v>
      </c>
      <c r="R571" s="82">
        <f>419-SUM(P571:Q571)</f>
        <v>0</v>
      </c>
      <c r="S571" s="82">
        <f>+BW571-SUM(P571:R571)</f>
        <v>2</v>
      </c>
      <c r="T571" s="85">
        <v>0</v>
      </c>
      <c r="U571" s="85">
        <v>2</v>
      </c>
      <c r="V571" s="85">
        <f>6-SUM(T571:U571)</f>
        <v>4</v>
      </c>
      <c r="W571" s="85">
        <f>+BX571-SUM(T571:V571)</f>
        <v>0</v>
      </c>
      <c r="X571" s="85" t="s">
        <v>127</v>
      </c>
      <c r="Y571" s="85" t="s">
        <v>127</v>
      </c>
      <c r="Z571" s="85" t="s">
        <v>127</v>
      </c>
      <c r="AA571" s="85" t="s">
        <v>127</v>
      </c>
      <c r="AB571" s="85" t="s">
        <v>127</v>
      </c>
      <c r="AC571" s="85" t="s">
        <v>127</v>
      </c>
      <c r="AD571" s="85" t="s">
        <v>127</v>
      </c>
      <c r="AE571" s="85" t="s">
        <v>127</v>
      </c>
      <c r="AF571" s="85" t="s">
        <v>127</v>
      </c>
      <c r="AG571" s="85" t="s">
        <v>127</v>
      </c>
      <c r="AH571" s="85" t="s">
        <v>127</v>
      </c>
      <c r="AI571" s="85" t="s">
        <v>127</v>
      </c>
      <c r="AJ571" s="85" t="s">
        <v>127</v>
      </c>
      <c r="AK571" s="85" t="s">
        <v>127</v>
      </c>
      <c r="AL571" s="85" t="s">
        <v>127</v>
      </c>
      <c r="AM571" s="85" t="s">
        <v>127</v>
      </c>
      <c r="AN571" s="85" t="s">
        <v>127</v>
      </c>
      <c r="AO571" s="85" t="s">
        <v>127</v>
      </c>
      <c r="AP571" s="85" t="s">
        <v>127</v>
      </c>
      <c r="AQ571" s="85" t="s">
        <v>127</v>
      </c>
      <c r="AR571" s="85" t="s">
        <v>127</v>
      </c>
      <c r="AS571" s="85" t="s">
        <v>127</v>
      </c>
      <c r="AT571" s="85" t="s">
        <v>127</v>
      </c>
      <c r="AU571" s="85" t="s">
        <v>127</v>
      </c>
      <c r="AV571" s="85" t="s">
        <v>127</v>
      </c>
      <c r="AW571" s="85" t="s">
        <v>127</v>
      </c>
      <c r="AX571" s="85" t="s">
        <v>127</v>
      </c>
      <c r="AY571" s="85" t="s">
        <v>127</v>
      </c>
      <c r="AZ571" s="85" t="s">
        <v>127</v>
      </c>
      <c r="BA571" s="85" t="s">
        <v>127</v>
      </c>
      <c r="BB571" s="85" t="s">
        <v>127</v>
      </c>
      <c r="BC571" s="85" t="s">
        <v>127</v>
      </c>
      <c r="BD571" s="85" t="s">
        <v>127</v>
      </c>
      <c r="BE571" s="85" t="s">
        <v>127</v>
      </c>
      <c r="BF571" s="85" t="s">
        <v>127</v>
      </c>
      <c r="BG571" s="85" t="s">
        <v>127</v>
      </c>
      <c r="BH571" s="85" t="s">
        <v>127</v>
      </c>
      <c r="BI571" s="85" t="s">
        <v>127</v>
      </c>
      <c r="BJ571" s="85" t="s">
        <v>127</v>
      </c>
      <c r="BK571" s="85"/>
      <c r="BL571" s="85"/>
      <c r="BM571" s="85"/>
      <c r="BN571" s="85"/>
      <c r="BO571" s="85"/>
      <c r="BS571" s="82">
        <v>0</v>
      </c>
      <c r="BT571" s="82">
        <v>0</v>
      </c>
      <c r="BU571" s="82">
        <v>0</v>
      </c>
      <c r="BV571" s="82">
        <v>131</v>
      </c>
      <c r="BW571" s="82">
        <v>421</v>
      </c>
      <c r="BX571" s="82">
        <v>6</v>
      </c>
      <c r="BY571" s="85" t="s">
        <v>127</v>
      </c>
      <c r="BZ571" s="85" t="s">
        <v>127</v>
      </c>
      <c r="CA571" s="85" t="s">
        <v>127</v>
      </c>
      <c r="CB571" s="85" t="s">
        <v>127</v>
      </c>
      <c r="CC571" s="85" t="s">
        <v>127</v>
      </c>
      <c r="CD571" s="85" t="s">
        <v>127</v>
      </c>
      <c r="CE571" s="85" t="s">
        <v>127</v>
      </c>
      <c r="CF571" s="85" t="s">
        <v>127</v>
      </c>
      <c r="CG571" s="85" t="s">
        <v>127</v>
      </c>
      <c r="CH571" s="85"/>
      <c r="CI571" s="85"/>
    </row>
    <row r="572" spans="2:87" x14ac:dyDescent="0.2">
      <c r="B572" s="70" t="s">
        <v>187</v>
      </c>
      <c r="H572" s="80">
        <f>+H570-H571</f>
        <v>103</v>
      </c>
      <c r="I572" s="80">
        <f t="shared" ref="I572:W572" si="929">+I570-I571</f>
        <v>73</v>
      </c>
      <c r="J572" s="80">
        <f t="shared" si="929"/>
        <v>3</v>
      </c>
      <c r="K572" s="80">
        <f t="shared" si="929"/>
        <v>18</v>
      </c>
      <c r="L572" s="80">
        <f t="shared" si="929"/>
        <v>174</v>
      </c>
      <c r="M572" s="80">
        <f t="shared" si="929"/>
        <v>8</v>
      </c>
      <c r="N572" s="80">
        <f t="shared" si="929"/>
        <v>2</v>
      </c>
      <c r="O572" s="80">
        <f t="shared" si="929"/>
        <v>-131</v>
      </c>
      <c r="P572" s="80">
        <f t="shared" si="929"/>
        <v>9</v>
      </c>
      <c r="Q572" s="80">
        <f t="shared" si="929"/>
        <v>-410</v>
      </c>
      <c r="R572" s="80">
        <f t="shared" si="929"/>
        <v>43</v>
      </c>
      <c r="S572" s="80">
        <f t="shared" si="929"/>
        <v>19</v>
      </c>
      <c r="T572" s="80">
        <f t="shared" si="929"/>
        <v>37</v>
      </c>
      <c r="U572" s="80">
        <f t="shared" si="929"/>
        <v>22</v>
      </c>
      <c r="V572" s="80">
        <f t="shared" si="929"/>
        <v>42</v>
      </c>
      <c r="W572" s="80">
        <f t="shared" si="929"/>
        <v>77</v>
      </c>
      <c r="X572" s="81">
        <v>119</v>
      </c>
      <c r="Y572" s="81">
        <v>40</v>
      </c>
      <c r="Z572" s="81">
        <v>40</v>
      </c>
      <c r="AA572" s="81">
        <v>71</v>
      </c>
      <c r="AB572" s="81">
        <v>170</v>
      </c>
      <c r="AC572" s="81">
        <v>237</v>
      </c>
      <c r="AD572" s="81">
        <v>357</v>
      </c>
      <c r="AE572" s="81">
        <v>446</v>
      </c>
      <c r="AF572" s="81">
        <v>664</v>
      </c>
      <c r="AG572" s="81">
        <v>695</v>
      </c>
      <c r="AH572" s="81">
        <v>434</v>
      </c>
      <c r="AI572" s="81">
        <v>324</v>
      </c>
      <c r="AJ572" s="81">
        <v>736</v>
      </c>
      <c r="AK572" s="81">
        <v>1545</v>
      </c>
      <c r="AL572" s="81">
        <v>447</v>
      </c>
      <c r="AM572" s="81">
        <v>1034</v>
      </c>
      <c r="AN572" s="81">
        <v>682</v>
      </c>
      <c r="AO572" s="81">
        <v>1014</v>
      </c>
      <c r="AP572" s="81">
        <v>832</v>
      </c>
      <c r="AQ572" s="81">
        <v>2654</v>
      </c>
      <c r="AR572" s="81">
        <v>209</v>
      </c>
      <c r="AS572" s="81">
        <v>1041</v>
      </c>
      <c r="AT572" s="81">
        <v>1872</v>
      </c>
      <c r="AU572" s="81">
        <v>1107</v>
      </c>
      <c r="AV572" s="81">
        <v>2907</v>
      </c>
      <c r="AW572" s="81">
        <v>3387</v>
      </c>
      <c r="AX572" s="81">
        <v>1625</v>
      </c>
      <c r="AY572" s="81">
        <v>606</v>
      </c>
      <c r="AZ572" s="81">
        <v>502</v>
      </c>
      <c r="BA572" s="81">
        <v>2139</v>
      </c>
      <c r="BB572" s="81">
        <v>2006</v>
      </c>
      <c r="BC572" s="81">
        <v>1760</v>
      </c>
      <c r="BD572" s="81">
        <v>405</v>
      </c>
      <c r="BE572" s="81">
        <v>1102</v>
      </c>
      <c r="BF572" s="81">
        <v>509</v>
      </c>
      <c r="BG572" s="81">
        <v>4591</v>
      </c>
      <c r="BH572" s="81">
        <v>630</v>
      </c>
      <c r="BI572" s="81">
        <v>5929</v>
      </c>
      <c r="BJ572" s="81">
        <v>1767</v>
      </c>
      <c r="BK572" s="81"/>
      <c r="BL572" s="81"/>
      <c r="BM572" s="81"/>
      <c r="BN572" s="81"/>
      <c r="BO572" s="81"/>
      <c r="BS572" s="80">
        <f t="shared" ref="BS572:BX572" si="930">+BS570-BS571</f>
        <v>42</v>
      </c>
      <c r="BT572" s="80">
        <f t="shared" si="930"/>
        <v>261</v>
      </c>
      <c r="BU572" s="80">
        <f t="shared" si="930"/>
        <v>197</v>
      </c>
      <c r="BV572" s="80">
        <f t="shared" si="930"/>
        <v>53</v>
      </c>
      <c r="BW572" s="80">
        <f t="shared" si="930"/>
        <v>-339</v>
      </c>
      <c r="BX572" s="80">
        <f t="shared" si="930"/>
        <v>178</v>
      </c>
      <c r="BY572" s="81">
        <v>270</v>
      </c>
      <c r="BZ572" s="81">
        <v>1210</v>
      </c>
      <c r="CA572" s="81">
        <v>2117</v>
      </c>
      <c r="CB572" s="81">
        <v>3762</v>
      </c>
      <c r="CC572" s="64">
        <f>+SUM(AN572:AQ572)</f>
        <v>5182</v>
      </c>
      <c r="CD572" s="64">
        <f t="shared" si="924"/>
        <v>4229</v>
      </c>
      <c r="CE572" s="64">
        <f>+SUM(AV572:AY572)</f>
        <v>8525</v>
      </c>
      <c r="CF572" s="64">
        <f>+SUM(AZ572:BC572)</f>
        <v>6407</v>
      </c>
      <c r="CG572" s="64">
        <f>+SUM(BD572:BG572)</f>
        <v>6607</v>
      </c>
      <c r="CH572" s="64"/>
      <c r="CI572" s="64"/>
    </row>
    <row r="573" spans="2:87" x14ac:dyDescent="0.2">
      <c r="B573" t="s">
        <v>188</v>
      </c>
      <c r="H573" s="83" t="s">
        <v>127</v>
      </c>
      <c r="I573" s="83" t="s">
        <v>127</v>
      </c>
      <c r="J573" s="83" t="s">
        <v>127</v>
      </c>
      <c r="K573" s="83" t="s">
        <v>127</v>
      </c>
      <c r="L573" s="83" t="s">
        <v>127</v>
      </c>
      <c r="M573" s="83" t="s">
        <v>127</v>
      </c>
      <c r="N573" s="83" t="s">
        <v>127</v>
      </c>
      <c r="O573" s="83" t="s">
        <v>127</v>
      </c>
      <c r="P573" s="83" t="s">
        <v>127</v>
      </c>
      <c r="Q573" s="83" t="s">
        <v>127</v>
      </c>
      <c r="R573" s="83" t="s">
        <v>127</v>
      </c>
      <c r="S573" s="83" t="s">
        <v>127</v>
      </c>
      <c r="T573" s="81">
        <v>0</v>
      </c>
      <c r="U573" s="81">
        <v>0</v>
      </c>
      <c r="V573" s="81">
        <v>0</v>
      </c>
      <c r="W573" s="81">
        <v>0</v>
      </c>
      <c r="X573" s="81">
        <v>0</v>
      </c>
      <c r="Y573" s="81">
        <v>0</v>
      </c>
      <c r="Z573" s="81">
        <v>0</v>
      </c>
      <c r="AA573" s="81">
        <v>0</v>
      </c>
      <c r="AB573" s="81">
        <v>0</v>
      </c>
      <c r="AC573" s="81">
        <v>0</v>
      </c>
      <c r="AD573" s="81">
        <v>0</v>
      </c>
      <c r="AE573" s="81">
        <v>0</v>
      </c>
      <c r="AF573" s="81">
        <v>0</v>
      </c>
      <c r="AG573" s="81">
        <v>0</v>
      </c>
      <c r="AH573" s="81">
        <v>0</v>
      </c>
      <c r="AI573" s="81">
        <v>0</v>
      </c>
      <c r="AJ573" s="81">
        <v>0</v>
      </c>
      <c r="AK573" s="81">
        <v>0</v>
      </c>
      <c r="AL573" s="81">
        <v>0</v>
      </c>
      <c r="AM573" s="81">
        <v>0</v>
      </c>
      <c r="AN573" s="81">
        <v>0</v>
      </c>
      <c r="AO573" s="81">
        <v>0</v>
      </c>
      <c r="AP573" s="81">
        <v>0</v>
      </c>
      <c r="AQ573" s="81">
        <v>0</v>
      </c>
      <c r="AR573" s="81">
        <v>0</v>
      </c>
      <c r="AS573" s="81">
        <v>0</v>
      </c>
      <c r="AT573" s="81">
        <v>0</v>
      </c>
      <c r="AU573" s="81">
        <v>0</v>
      </c>
      <c r="AV573" s="81">
        <v>0</v>
      </c>
      <c r="AW573" s="81">
        <v>0</v>
      </c>
      <c r="AX573" s="81">
        <v>0</v>
      </c>
      <c r="AY573" s="81">
        <v>0</v>
      </c>
      <c r="AZ573" s="81">
        <v>0</v>
      </c>
      <c r="BA573" s="81">
        <v>0</v>
      </c>
      <c r="BB573" s="81">
        <v>0</v>
      </c>
      <c r="BC573" s="81">
        <v>0</v>
      </c>
      <c r="BD573" s="81">
        <v>0</v>
      </c>
      <c r="BE573" s="81">
        <v>0</v>
      </c>
      <c r="BF573" s="81">
        <v>0</v>
      </c>
      <c r="BG573" s="81">
        <v>0</v>
      </c>
      <c r="BH573" s="81">
        <v>0</v>
      </c>
      <c r="BI573" s="81">
        <v>0</v>
      </c>
      <c r="BJ573" s="81">
        <v>0</v>
      </c>
      <c r="BK573" s="81"/>
      <c r="BL573" s="81"/>
      <c r="BM573" s="81"/>
      <c r="BN573" s="81"/>
      <c r="BO573" s="81"/>
      <c r="BS573" s="81">
        <v>56</v>
      </c>
      <c r="BT573" s="81">
        <v>217</v>
      </c>
      <c r="BU573" s="81">
        <v>473</v>
      </c>
      <c r="BV573" s="81">
        <v>340</v>
      </c>
      <c r="BW573" s="81">
        <v>11</v>
      </c>
      <c r="BX573" s="81">
        <v>0</v>
      </c>
      <c r="BY573" s="81">
        <v>0</v>
      </c>
      <c r="BZ573" s="81">
        <v>0</v>
      </c>
      <c r="CA573" s="81">
        <v>0</v>
      </c>
      <c r="CB573" s="81">
        <v>0</v>
      </c>
      <c r="CC573" s="64">
        <f>+SUM(AN573:AQ573)</f>
        <v>0</v>
      </c>
      <c r="CD573" s="64">
        <f t="shared" si="924"/>
        <v>0</v>
      </c>
      <c r="CE573" s="64">
        <f>+SUM(AV573:AY573)</f>
        <v>0</v>
      </c>
      <c r="CF573" s="64">
        <f>+SUM(AZ573:BC573)</f>
        <v>0</v>
      </c>
      <c r="CG573" s="64"/>
      <c r="CH573" s="64"/>
      <c r="CI573" s="64"/>
    </row>
    <row r="574" spans="2:87" x14ac:dyDescent="0.2">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c r="AE574" s="64"/>
      <c r="AF574" s="64"/>
      <c r="AG574" s="64"/>
      <c r="AH574" s="64"/>
      <c r="AI574" s="64"/>
      <c r="AJ574" s="64"/>
      <c r="AK574" s="64"/>
      <c r="AL574" s="64"/>
      <c r="AM574" s="64"/>
      <c r="AN574" s="64"/>
      <c r="AO574" s="64"/>
      <c r="AP574" s="64"/>
      <c r="AQ574" s="64"/>
      <c r="AR574" s="64"/>
      <c r="AS574" s="64"/>
      <c r="AT574" s="64"/>
      <c r="AU574" s="64"/>
      <c r="AV574" s="177"/>
      <c r="AW574" s="177"/>
      <c r="AX574" s="177"/>
      <c r="AY574" s="177"/>
      <c r="AZ574" s="177"/>
      <c r="BA574" s="177"/>
      <c r="BB574" s="177"/>
      <c r="BC574" s="177"/>
      <c r="BD574" s="177"/>
      <c r="BE574" s="177"/>
      <c r="BF574" s="177"/>
      <c r="BG574" s="177"/>
      <c r="BH574" s="64"/>
      <c r="BI574" s="64"/>
      <c r="BJ574" s="64"/>
      <c r="BK574" s="64"/>
      <c r="BL574" s="64"/>
      <c r="BM574" s="64"/>
      <c r="BN574" s="64"/>
      <c r="BO574" s="64"/>
      <c r="BS574" s="64"/>
      <c r="BT574" s="64"/>
      <c r="BU574" s="64"/>
      <c r="BV574" s="64"/>
      <c r="BW574" s="64"/>
      <c r="BX574" s="64"/>
      <c r="BY574" s="64"/>
      <c r="BZ574" s="64"/>
      <c r="CA574" s="64"/>
    </row>
    <row r="575" spans="2:87" x14ac:dyDescent="0.2">
      <c r="B575" s="52" t="s">
        <v>189</v>
      </c>
      <c r="C575" s="53"/>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c r="AE575" s="64"/>
      <c r="AF575" s="64"/>
      <c r="AG575" s="64"/>
      <c r="AH575" s="64"/>
      <c r="AI575" s="64"/>
      <c r="AJ575" s="64"/>
      <c r="AK575" s="64"/>
      <c r="AL575" s="64"/>
      <c r="AM575" s="64"/>
      <c r="AN575" s="64"/>
      <c r="AO575" s="64"/>
      <c r="AP575" s="64"/>
      <c r="AQ575" s="64"/>
      <c r="AR575" s="64"/>
      <c r="AS575" s="64"/>
      <c r="AT575" s="64"/>
      <c r="AU575" s="64"/>
      <c r="AV575" s="64"/>
      <c r="AW575" s="64"/>
      <c r="AX575" s="64"/>
      <c r="AY575" s="64"/>
      <c r="AZ575" s="64"/>
      <c r="BA575" s="64"/>
      <c r="BB575" s="64"/>
      <c r="BC575" s="64"/>
      <c r="BD575" s="64"/>
      <c r="BE575" s="64"/>
      <c r="BF575" s="64"/>
      <c r="BG575" s="64"/>
      <c r="BH575" s="64"/>
      <c r="BI575" s="64"/>
      <c r="BJ575" s="64"/>
      <c r="BK575" s="64"/>
      <c r="BL575" s="64"/>
      <c r="BM575" s="64"/>
      <c r="BN575" s="64"/>
      <c r="BO575" s="64"/>
      <c r="BS575" s="64"/>
      <c r="BT575" s="64"/>
      <c r="BU575" s="64"/>
      <c r="BV575" s="64"/>
      <c r="BW575" s="64"/>
      <c r="BX575" s="64"/>
      <c r="BY575" s="64"/>
      <c r="BZ575" s="64"/>
      <c r="CA575" s="64"/>
    </row>
    <row r="576" spans="2:87" x14ac:dyDescent="0.2">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c r="AE576" s="64"/>
      <c r="AF576" s="64"/>
      <c r="AG576" s="64"/>
      <c r="AH576" s="64"/>
      <c r="AI576" s="64"/>
      <c r="AJ576" s="64"/>
      <c r="AK576" s="64"/>
      <c r="AL576" s="64"/>
      <c r="AM576" s="64"/>
      <c r="AN576" s="64"/>
      <c r="AO576" s="64"/>
      <c r="AP576" s="64"/>
      <c r="AQ576" s="64"/>
      <c r="AR576" s="64"/>
      <c r="AS576" s="64"/>
      <c r="AT576" s="64"/>
      <c r="AU576" s="64"/>
      <c r="AV576" s="64"/>
      <c r="AW576" s="64"/>
      <c r="AX576" s="64"/>
      <c r="AY576" s="64"/>
      <c r="AZ576" s="64"/>
      <c r="BA576" s="64"/>
      <c r="BB576" s="64"/>
      <c r="BC576" s="64"/>
      <c r="BD576" s="64"/>
      <c r="BE576" s="64"/>
      <c r="BF576" s="64"/>
      <c r="BG576" s="64"/>
      <c r="BH576" s="64"/>
      <c r="BI576" s="64"/>
      <c r="BJ576" s="64"/>
      <c r="BK576" s="64"/>
      <c r="BL576" s="64"/>
      <c r="BM576" s="64"/>
      <c r="BN576" s="64"/>
      <c r="BO576" s="64"/>
      <c r="BS576" s="64"/>
      <c r="BT576" s="64"/>
      <c r="BU576" s="64"/>
      <c r="BV576" s="64"/>
      <c r="BW576" s="64"/>
      <c r="BX576" s="64"/>
      <c r="BY576" s="64"/>
      <c r="BZ576" s="64"/>
      <c r="CA576" s="64"/>
    </row>
    <row r="577" spans="2:87" x14ac:dyDescent="0.2">
      <c r="B577" t="s">
        <v>190</v>
      </c>
      <c r="H577" s="64"/>
      <c r="I577" s="64"/>
      <c r="J577" s="64"/>
      <c r="K577" s="64"/>
      <c r="L577" s="81">
        <v>1282</v>
      </c>
      <c r="M577" s="81">
        <v>2098</v>
      </c>
      <c r="N577" s="81">
        <v>2478</v>
      </c>
      <c r="O577" s="81">
        <v>2384</v>
      </c>
      <c r="P577" s="81">
        <v>2325</v>
      </c>
      <c r="Q577" s="81">
        <v>3001</v>
      </c>
      <c r="R577" s="81">
        <v>3100</v>
      </c>
      <c r="S577" s="81">
        <v>3323</v>
      </c>
      <c r="T577" s="81">
        <v>2998</v>
      </c>
      <c r="U577" s="81">
        <v>4384</v>
      </c>
      <c r="V577" s="81">
        <v>8999</v>
      </c>
      <c r="W577" s="81">
        <v>4315</v>
      </c>
      <c r="X577" s="81">
        <v>3419</v>
      </c>
      <c r="Y577" s="81">
        <v>5123</v>
      </c>
      <c r="Z577" s="81">
        <v>4308</v>
      </c>
      <c r="AA577" s="81">
        <v>4907</v>
      </c>
      <c r="AB577" s="81">
        <v>6456</v>
      </c>
      <c r="AC577" s="81">
        <v>5108</v>
      </c>
      <c r="AD577" s="81">
        <v>6038</v>
      </c>
      <c r="AE577" s="81">
        <v>8903</v>
      </c>
      <c r="AF577" s="81">
        <v>7104</v>
      </c>
      <c r="AG577" s="81">
        <v>6252</v>
      </c>
      <c r="AH577" s="81">
        <v>7201</v>
      </c>
      <c r="AI577" s="81">
        <v>8079</v>
      </c>
      <c r="AJ577" s="81">
        <v>12082</v>
      </c>
      <c r="AK577" s="81">
        <v>11552</v>
      </c>
      <c r="AL577" s="81">
        <v>9637</v>
      </c>
      <c r="AM577" s="81">
        <v>10019</v>
      </c>
      <c r="AN577" s="81">
        <v>11076</v>
      </c>
      <c r="AO577" s="81">
        <v>13877</v>
      </c>
      <c r="AP577" s="81">
        <v>15979</v>
      </c>
      <c r="AQ577" s="81">
        <v>19079</v>
      </c>
      <c r="AR577" s="81">
        <v>23618</v>
      </c>
      <c r="AS577" s="81">
        <v>21045</v>
      </c>
      <c r="AT577" s="81">
        <v>11617</v>
      </c>
      <c r="AU577" s="81">
        <v>17576</v>
      </c>
      <c r="AV577" s="81">
        <v>19513</v>
      </c>
      <c r="AW577" s="81">
        <v>16186</v>
      </c>
      <c r="AX577" s="81">
        <v>14496</v>
      </c>
      <c r="AY577" s="81">
        <v>16601</v>
      </c>
      <c r="AZ577" s="81">
        <v>14886</v>
      </c>
      <c r="BA577" s="81">
        <v>12681</v>
      </c>
      <c r="BB577" s="81">
        <v>14308</v>
      </c>
      <c r="BC577" s="81">
        <v>14681</v>
      </c>
      <c r="BD577" s="81">
        <v>11551</v>
      </c>
      <c r="BE577" s="81">
        <v>28785</v>
      </c>
      <c r="BF577" s="81">
        <v>36890</v>
      </c>
      <c r="BG577" s="81">
        <v>41862</v>
      </c>
      <c r="BH577" s="81">
        <v>32307</v>
      </c>
      <c r="BI577" s="81">
        <v>32045</v>
      </c>
      <c r="BJ577" s="81">
        <v>43852</v>
      </c>
      <c r="BK577" s="81"/>
      <c r="BL577" s="81"/>
      <c r="BM577" s="81"/>
      <c r="BN577" s="81"/>
      <c r="BO577" s="81"/>
      <c r="BS577" s="64"/>
      <c r="BT577" s="81">
        <v>1785</v>
      </c>
      <c r="BU577" s="81">
        <v>1512</v>
      </c>
      <c r="BV577" s="64">
        <f>+O577</f>
        <v>2384</v>
      </c>
      <c r="BW577" s="64">
        <f>+S577</f>
        <v>3323</v>
      </c>
      <c r="BX577" s="64">
        <f>+W577</f>
        <v>4315</v>
      </c>
      <c r="BY577" s="64">
        <f>+AA577</f>
        <v>4907</v>
      </c>
      <c r="BZ577" s="64">
        <f>+AE577</f>
        <v>8903</v>
      </c>
      <c r="CA577" s="64">
        <f>+AI577</f>
        <v>8079</v>
      </c>
      <c r="CB577" s="64">
        <f>+AM577</f>
        <v>10019</v>
      </c>
      <c r="CC577" s="64">
        <f>+AQ577</f>
        <v>19079</v>
      </c>
      <c r="CD577" s="64">
        <f>+AU577</f>
        <v>17576</v>
      </c>
      <c r="CE577" s="64">
        <f t="shared" ref="CE577:CE582" si="931">+AY577</f>
        <v>16601</v>
      </c>
      <c r="CF577" s="64">
        <f t="shared" ref="CF577:CF582" si="932">+BC577</f>
        <v>14681</v>
      </c>
      <c r="CG577" s="64">
        <f t="shared" ref="CG577:CG582" si="933">+BG577</f>
        <v>41862</v>
      </c>
      <c r="CH577" s="64"/>
      <c r="CI577" s="64"/>
    </row>
    <row r="578" spans="2:87" x14ac:dyDescent="0.2">
      <c r="B578" t="s">
        <v>191</v>
      </c>
      <c r="H578" s="64"/>
      <c r="I578" s="64"/>
      <c r="J578" s="64"/>
      <c r="K578" s="64"/>
      <c r="L578" s="81">
        <v>2628</v>
      </c>
      <c r="M578" s="81">
        <v>8090</v>
      </c>
      <c r="N578" s="81">
        <v>7974</v>
      </c>
      <c r="O578" s="81">
        <v>7242</v>
      </c>
      <c r="P578" s="81">
        <v>7147</v>
      </c>
      <c r="Q578" s="81">
        <v>7251</v>
      </c>
      <c r="R578" s="81">
        <v>6228</v>
      </c>
      <c r="S578" s="81">
        <v>8126</v>
      </c>
      <c r="T578" s="81">
        <v>9631</v>
      </c>
      <c r="U578" s="81">
        <v>9572</v>
      </c>
      <c r="V578" s="81">
        <v>5251</v>
      </c>
      <c r="W578" s="81">
        <v>6884</v>
      </c>
      <c r="X578" s="81">
        <v>8994</v>
      </c>
      <c r="Y578" s="81">
        <v>9002</v>
      </c>
      <c r="Z578" s="81">
        <v>11526</v>
      </c>
      <c r="AA578" s="81">
        <v>13527</v>
      </c>
      <c r="AB578" s="81">
        <v>14165</v>
      </c>
      <c r="AC578" s="81">
        <v>18185</v>
      </c>
      <c r="AD578" s="81">
        <v>20102</v>
      </c>
      <c r="AE578" s="81">
        <v>20546</v>
      </c>
      <c r="AF578" s="81">
        <v>25202</v>
      </c>
      <c r="AG578" s="81">
        <v>29200</v>
      </c>
      <c r="AH578" s="81">
        <v>31088</v>
      </c>
      <c r="AI578" s="81">
        <v>33632</v>
      </c>
      <c r="AJ578" s="81">
        <v>31874</v>
      </c>
      <c r="AK578" s="81">
        <v>30757</v>
      </c>
      <c r="AL578" s="81">
        <v>31569</v>
      </c>
      <c r="AM578" s="81">
        <v>31095</v>
      </c>
      <c r="AN578" s="81">
        <v>34167</v>
      </c>
      <c r="AO578" s="81">
        <v>34719</v>
      </c>
      <c r="AP578" s="81">
        <v>36290</v>
      </c>
      <c r="AQ578" s="81">
        <v>35776</v>
      </c>
      <c r="AR578" s="81">
        <v>36671</v>
      </c>
      <c r="AS578" s="81">
        <v>37195</v>
      </c>
      <c r="AT578" s="81">
        <v>44003</v>
      </c>
      <c r="AU578" s="81">
        <v>44378</v>
      </c>
      <c r="AV578" s="81">
        <v>44706</v>
      </c>
      <c r="AW578" s="81">
        <v>47894</v>
      </c>
      <c r="AX578" s="81">
        <v>43579</v>
      </c>
      <c r="AY578" s="81">
        <v>31397</v>
      </c>
      <c r="AZ578" s="81">
        <v>29004</v>
      </c>
      <c r="BA578" s="81">
        <v>27808</v>
      </c>
      <c r="BB578" s="81">
        <v>27468</v>
      </c>
      <c r="BC578" s="81">
        <v>26057</v>
      </c>
      <c r="BD578" s="81">
        <v>25888</v>
      </c>
      <c r="BE578" s="81">
        <v>24661</v>
      </c>
      <c r="BF578" s="81">
        <v>24233</v>
      </c>
      <c r="BG578" s="81">
        <v>23541</v>
      </c>
      <c r="BH578" s="81">
        <v>25813</v>
      </c>
      <c r="BI578" s="81">
        <v>26035</v>
      </c>
      <c r="BJ578" s="81">
        <v>27048</v>
      </c>
      <c r="BK578" s="81"/>
      <c r="BL578" s="81"/>
      <c r="BM578" s="81"/>
      <c r="BN578" s="81"/>
      <c r="BO578" s="81"/>
      <c r="BS578" s="64"/>
      <c r="BT578" s="81">
        <v>0</v>
      </c>
      <c r="BU578" s="81">
        <v>2396</v>
      </c>
      <c r="BV578" s="64">
        <f>+O578</f>
        <v>7242</v>
      </c>
      <c r="BW578" s="64">
        <f>+S578</f>
        <v>8126</v>
      </c>
      <c r="BX578" s="64">
        <f>+W578</f>
        <v>6884</v>
      </c>
      <c r="BY578" s="64">
        <f>+AA578</f>
        <v>13527</v>
      </c>
      <c r="BZ578" s="64">
        <f>+AE578</f>
        <v>20546</v>
      </c>
      <c r="CA578" s="64">
        <f>+AI578</f>
        <v>33632</v>
      </c>
      <c r="CB578" s="64">
        <f>+AM578</f>
        <v>31095</v>
      </c>
      <c r="CC578" s="64">
        <f>+AQ578</f>
        <v>35776</v>
      </c>
      <c r="CD578" s="64">
        <f t="shared" ref="CD578:CD608" si="934">+AU578</f>
        <v>44378</v>
      </c>
      <c r="CE578" s="64">
        <f t="shared" si="931"/>
        <v>31397</v>
      </c>
      <c r="CF578" s="64">
        <f t="shared" si="932"/>
        <v>26057</v>
      </c>
      <c r="CG578" s="64">
        <f t="shared" si="933"/>
        <v>23541</v>
      </c>
      <c r="CH578" s="64"/>
      <c r="CI578" s="64"/>
    </row>
    <row r="579" spans="2:87" x14ac:dyDescent="0.2">
      <c r="B579" t="s">
        <v>192</v>
      </c>
      <c r="H579" s="64"/>
      <c r="I579" s="64"/>
      <c r="J579" s="64"/>
      <c r="K579" s="64"/>
      <c r="L579" s="81">
        <v>482</v>
      </c>
      <c r="M579" s="81">
        <v>578</v>
      </c>
      <c r="N579" s="81">
        <v>635</v>
      </c>
      <c r="O579" s="81">
        <v>719</v>
      </c>
      <c r="P579" s="81">
        <v>659</v>
      </c>
      <c r="Q579" s="81">
        <v>775</v>
      </c>
      <c r="R579" s="81">
        <v>872</v>
      </c>
      <c r="S579" s="81">
        <v>1109</v>
      </c>
      <c r="T579" s="81">
        <v>1006</v>
      </c>
      <c r="U579" s="81">
        <v>1190</v>
      </c>
      <c r="V579" s="81">
        <v>1363</v>
      </c>
      <c r="W579" s="81">
        <v>1678</v>
      </c>
      <c r="X579" s="81">
        <v>1508</v>
      </c>
      <c r="Y579" s="81">
        <v>1815</v>
      </c>
      <c r="Z579" s="81">
        <v>2010</v>
      </c>
      <c r="AA579" s="81">
        <v>2559</v>
      </c>
      <c r="AB579" s="81">
        <v>2348</v>
      </c>
      <c r="AC579" s="81">
        <v>2801</v>
      </c>
      <c r="AD579" s="81">
        <v>3070</v>
      </c>
      <c r="AE579" s="81">
        <v>3993</v>
      </c>
      <c r="AF579" s="81">
        <v>3415</v>
      </c>
      <c r="AG579" s="81">
        <v>3897</v>
      </c>
      <c r="AH579" s="81">
        <v>4424</v>
      </c>
      <c r="AI579" s="81">
        <v>5832</v>
      </c>
      <c r="AJ579" s="81">
        <v>5115</v>
      </c>
      <c r="AK579" s="81">
        <v>5590</v>
      </c>
      <c r="AL579" s="81">
        <v>6058</v>
      </c>
      <c r="AM579" s="81">
        <v>7587</v>
      </c>
      <c r="AN579" s="81">
        <v>6475</v>
      </c>
      <c r="AO579" s="81">
        <v>7513</v>
      </c>
      <c r="AP579" s="81">
        <v>7673</v>
      </c>
      <c r="AQ579" s="81">
        <v>9518</v>
      </c>
      <c r="AR579" s="81">
        <v>7289</v>
      </c>
      <c r="AS579" s="81">
        <v>7483</v>
      </c>
      <c r="AT579" s="81">
        <v>8024</v>
      </c>
      <c r="AU579" s="81">
        <v>11335</v>
      </c>
      <c r="AV579" s="81">
        <v>10276</v>
      </c>
      <c r="AW579" s="81">
        <v>11698</v>
      </c>
      <c r="AX579" s="81">
        <v>12088</v>
      </c>
      <c r="AY579" s="81">
        <v>14039</v>
      </c>
      <c r="AZ579" s="81">
        <v>11390</v>
      </c>
      <c r="BA579" s="81">
        <v>11525</v>
      </c>
      <c r="BB579" s="81">
        <v>11227</v>
      </c>
      <c r="BC579" s="81">
        <v>13466</v>
      </c>
      <c r="BD579" s="81">
        <v>11044</v>
      </c>
      <c r="BE579" s="81">
        <v>12511</v>
      </c>
      <c r="BF579" s="81">
        <v>12944</v>
      </c>
      <c r="BG579" s="81">
        <v>16169</v>
      </c>
      <c r="BH579" s="81">
        <v>13430</v>
      </c>
      <c r="BI579" s="81">
        <v>14505</v>
      </c>
      <c r="BJ579" s="81">
        <v>14700</v>
      </c>
      <c r="BK579" s="81"/>
      <c r="BL579" s="81"/>
      <c r="BM579" s="81"/>
      <c r="BN579" s="81"/>
      <c r="BO579" s="81"/>
      <c r="BS579" s="64"/>
      <c r="BT579" s="81">
        <v>373</v>
      </c>
      <c r="BU579" s="81">
        <v>547</v>
      </c>
      <c r="BV579" s="64">
        <f>+O579</f>
        <v>719</v>
      </c>
      <c r="BW579" s="64">
        <f>+S579</f>
        <v>1109</v>
      </c>
      <c r="BX579" s="64">
        <f>+W579</f>
        <v>1678</v>
      </c>
      <c r="BY579" s="64">
        <f>+AA579</f>
        <v>2559</v>
      </c>
      <c r="BZ579" s="64">
        <f>+AE579</f>
        <v>3993</v>
      </c>
      <c r="CA579" s="64">
        <f>+AI579</f>
        <v>5832</v>
      </c>
      <c r="CB579" s="64">
        <f>+AM579</f>
        <v>7587</v>
      </c>
      <c r="CC579" s="64">
        <f>+AQ579</f>
        <v>9518</v>
      </c>
      <c r="CD579" s="64">
        <f t="shared" si="934"/>
        <v>11335</v>
      </c>
      <c r="CE579" s="64">
        <f t="shared" si="931"/>
        <v>14039</v>
      </c>
      <c r="CF579" s="64">
        <f t="shared" si="932"/>
        <v>13466</v>
      </c>
      <c r="CG579" s="64">
        <f t="shared" si="933"/>
        <v>16169</v>
      </c>
      <c r="CH579" s="64"/>
      <c r="CI579" s="64"/>
    </row>
    <row r="580" spans="2:87" x14ac:dyDescent="0.2">
      <c r="B580" t="s">
        <v>149</v>
      </c>
      <c r="H580" s="64"/>
      <c r="I580" s="64"/>
      <c r="J580" s="64"/>
      <c r="K580" s="64"/>
      <c r="L580" s="81">
        <v>0</v>
      </c>
      <c r="M580" s="81">
        <v>567</v>
      </c>
      <c r="N580" s="81">
        <v>567</v>
      </c>
      <c r="O580" s="81">
        <v>451</v>
      </c>
      <c r="P580" s="81">
        <v>426</v>
      </c>
      <c r="Q580" s="81">
        <v>7</v>
      </c>
      <c r="R580" s="81">
        <v>7</v>
      </c>
      <c r="S580" s="81">
        <v>0</v>
      </c>
      <c r="T580" s="81">
        <v>0</v>
      </c>
      <c r="U580" s="81">
        <v>0</v>
      </c>
      <c r="V580" s="81">
        <v>0</v>
      </c>
      <c r="W580" s="81">
        <v>0</v>
      </c>
      <c r="X580" s="81">
        <v>0</v>
      </c>
      <c r="Y580" s="81">
        <v>0</v>
      </c>
      <c r="Z580" s="81">
        <v>0</v>
      </c>
      <c r="AA580" s="81">
        <v>0</v>
      </c>
      <c r="AB580" s="81">
        <v>0</v>
      </c>
      <c r="AC580" s="81">
        <v>0</v>
      </c>
      <c r="AD580" s="81">
        <v>0</v>
      </c>
      <c r="AE580" s="81">
        <v>0</v>
      </c>
      <c r="AF580" s="81">
        <v>0</v>
      </c>
      <c r="AG580" s="81">
        <v>0</v>
      </c>
      <c r="AH580" s="81">
        <v>0</v>
      </c>
      <c r="AI580" s="81">
        <v>0</v>
      </c>
      <c r="AJ580" s="81">
        <v>0</v>
      </c>
      <c r="AK580" s="81">
        <v>0</v>
      </c>
      <c r="AL580" s="81">
        <v>0</v>
      </c>
      <c r="AM580" s="81">
        <v>0</v>
      </c>
      <c r="AN580" s="81">
        <v>0</v>
      </c>
      <c r="AO580" s="81">
        <v>0</v>
      </c>
      <c r="AP580" s="81">
        <v>0</v>
      </c>
      <c r="AQ580" s="81">
        <v>0</v>
      </c>
      <c r="AR580" s="81">
        <v>0</v>
      </c>
      <c r="AS580" s="81">
        <v>0</v>
      </c>
      <c r="AT580" s="81">
        <v>0</v>
      </c>
      <c r="AU580" s="81">
        <v>0</v>
      </c>
      <c r="AV580" s="81">
        <v>0</v>
      </c>
      <c r="AW580" s="81">
        <v>0</v>
      </c>
      <c r="AX580" s="81">
        <v>0</v>
      </c>
      <c r="AY580" s="81">
        <v>0</v>
      </c>
      <c r="AZ580" s="81">
        <v>0</v>
      </c>
      <c r="BA580" s="81">
        <v>0</v>
      </c>
      <c r="BB580" s="81">
        <v>0</v>
      </c>
      <c r="BC580" s="81">
        <v>0</v>
      </c>
      <c r="BD580" s="81">
        <v>0</v>
      </c>
      <c r="BE580" s="81">
        <v>0</v>
      </c>
      <c r="BF580" s="81">
        <v>0</v>
      </c>
      <c r="BG580" s="81">
        <v>0</v>
      </c>
      <c r="BH580" s="81">
        <v>0</v>
      </c>
      <c r="BI580" s="81">
        <v>0</v>
      </c>
      <c r="BJ580" s="81">
        <v>0</v>
      </c>
      <c r="BK580" s="81"/>
      <c r="BL580" s="81"/>
      <c r="BM580" s="81"/>
      <c r="BN580" s="81"/>
      <c r="BO580" s="81"/>
      <c r="BS580" s="64"/>
      <c r="BT580" s="81">
        <v>0</v>
      </c>
      <c r="BU580" s="81">
        <v>0</v>
      </c>
      <c r="BV580" s="64">
        <f>+O580</f>
        <v>451</v>
      </c>
      <c r="BW580" s="64">
        <f>+S580</f>
        <v>0</v>
      </c>
      <c r="BX580" s="64">
        <f>+W580</f>
        <v>0</v>
      </c>
      <c r="BY580" s="64">
        <f>+AA580</f>
        <v>0</v>
      </c>
      <c r="BZ580" s="64">
        <f>+AE580</f>
        <v>0</v>
      </c>
      <c r="CA580" s="64">
        <f>+AI580</f>
        <v>0</v>
      </c>
      <c r="CB580" s="64">
        <f>+AM580</f>
        <v>0</v>
      </c>
      <c r="CC580" s="64">
        <f>+AQ580</f>
        <v>0</v>
      </c>
      <c r="CD580" s="64">
        <f t="shared" si="934"/>
        <v>0</v>
      </c>
      <c r="CE580" s="64">
        <f t="shared" si="931"/>
        <v>0</v>
      </c>
      <c r="CF580" s="64">
        <f t="shared" si="932"/>
        <v>0</v>
      </c>
      <c r="CG580" s="64">
        <f t="shared" si="933"/>
        <v>0</v>
      </c>
      <c r="CH580" s="64"/>
      <c r="CI580" s="64"/>
    </row>
    <row r="581" spans="2:87" ht="13.5" x14ac:dyDescent="0.35">
      <c r="B581" t="s">
        <v>155</v>
      </c>
      <c r="H581" s="64"/>
      <c r="I581" s="64"/>
      <c r="J581" s="64"/>
      <c r="K581" s="64"/>
      <c r="L581" s="82">
        <v>627</v>
      </c>
      <c r="M581" s="82">
        <v>634</v>
      </c>
      <c r="N581" s="82">
        <v>631</v>
      </c>
      <c r="O581" s="82">
        <v>471</v>
      </c>
      <c r="P581" s="82">
        <v>485</v>
      </c>
      <c r="Q581" s="82">
        <v>387</v>
      </c>
      <c r="R581" s="82">
        <v>342</v>
      </c>
      <c r="S581" s="82">
        <v>512</v>
      </c>
      <c r="T581" s="82">
        <v>425</v>
      </c>
      <c r="U581" s="82">
        <v>411</v>
      </c>
      <c r="V581" s="82">
        <v>502</v>
      </c>
      <c r="W581" s="82">
        <v>513</v>
      </c>
      <c r="X581" s="82">
        <v>1083</v>
      </c>
      <c r="Y581" s="82">
        <v>1011</v>
      </c>
      <c r="Z581" s="82">
        <v>1295</v>
      </c>
      <c r="AA581" s="82">
        <v>659</v>
      </c>
      <c r="AB581" s="82">
        <v>843</v>
      </c>
      <c r="AC581" s="82">
        <v>916</v>
      </c>
      <c r="AD581" s="82">
        <v>1118</v>
      </c>
      <c r="AE581" s="82">
        <v>959</v>
      </c>
      <c r="AF581" s="82">
        <v>1209</v>
      </c>
      <c r="AG581" s="82">
        <v>1455</v>
      </c>
      <c r="AH581" s="82">
        <v>1490</v>
      </c>
      <c r="AI581" s="82">
        <v>1020</v>
      </c>
      <c r="AJ581" s="82">
        <v>1341</v>
      </c>
      <c r="AK581" s="82">
        <v>1934</v>
      </c>
      <c r="AL581" s="82">
        <v>1883</v>
      </c>
      <c r="AM581" s="82">
        <v>1779</v>
      </c>
      <c r="AN581" s="82">
        <v>1582</v>
      </c>
      <c r="AO581" s="82">
        <v>1852</v>
      </c>
      <c r="AP581" s="82">
        <v>2137</v>
      </c>
      <c r="AQ581" s="82">
        <v>1852</v>
      </c>
      <c r="AR581" s="82">
        <v>1771</v>
      </c>
      <c r="AS581" s="82">
        <v>2407</v>
      </c>
      <c r="AT581" s="82">
        <v>2155</v>
      </c>
      <c r="AU581" s="82">
        <v>2381</v>
      </c>
      <c r="AV581" s="82">
        <v>2827</v>
      </c>
      <c r="AW581" s="82">
        <v>4919</v>
      </c>
      <c r="AX581" s="82">
        <v>5258</v>
      </c>
      <c r="AY581" s="82">
        <v>4629</v>
      </c>
      <c r="AZ581" s="82">
        <v>3985</v>
      </c>
      <c r="BA581" s="82">
        <v>3973</v>
      </c>
      <c r="BB581" s="82">
        <v>5312</v>
      </c>
      <c r="BC581" s="82">
        <v>5345</v>
      </c>
      <c r="BD581" s="82">
        <v>4000</v>
      </c>
      <c r="BE581" s="82">
        <v>3603</v>
      </c>
      <c r="BF581" s="82">
        <v>4311</v>
      </c>
      <c r="BG581" s="82">
        <v>3793</v>
      </c>
      <c r="BH581" s="82">
        <v>3780</v>
      </c>
      <c r="BI581" s="82">
        <v>3846</v>
      </c>
      <c r="BJ581" s="82">
        <v>5467</v>
      </c>
      <c r="BK581" s="82"/>
      <c r="BL581" s="82"/>
      <c r="BM581" s="82"/>
      <c r="BN581" s="82"/>
      <c r="BO581" s="82"/>
      <c r="BS581" s="64"/>
      <c r="BT581" s="82">
        <v>88</v>
      </c>
      <c r="BU581" s="82">
        <v>149</v>
      </c>
      <c r="BV581" s="65">
        <f>+O581</f>
        <v>471</v>
      </c>
      <c r="BW581" s="65">
        <f>+S581</f>
        <v>512</v>
      </c>
      <c r="BX581" s="65">
        <f>+W581</f>
        <v>513</v>
      </c>
      <c r="BY581" s="65">
        <f>+AA581</f>
        <v>659</v>
      </c>
      <c r="BZ581" s="65">
        <f>+AE581</f>
        <v>959</v>
      </c>
      <c r="CA581" s="65">
        <f>+AI581</f>
        <v>1020</v>
      </c>
      <c r="CB581" s="65">
        <f>+AM581</f>
        <v>1779</v>
      </c>
      <c r="CC581" s="65">
        <f>+AQ581</f>
        <v>1852</v>
      </c>
      <c r="CD581" s="65">
        <f t="shared" si="934"/>
        <v>2381</v>
      </c>
      <c r="CE581" s="65">
        <f t="shared" si="931"/>
        <v>4629</v>
      </c>
      <c r="CF581" s="65">
        <f t="shared" si="932"/>
        <v>5345</v>
      </c>
      <c r="CG581" s="65">
        <f t="shared" si="933"/>
        <v>3793</v>
      </c>
      <c r="CH581" s="65"/>
      <c r="CI581" s="65"/>
    </row>
    <row r="582" spans="2:87" s="44" customFormat="1" x14ac:dyDescent="0.2">
      <c r="B582" s="110" t="s">
        <v>193</v>
      </c>
      <c r="H582" s="111"/>
      <c r="I582" s="111"/>
      <c r="J582" s="111"/>
      <c r="K582" s="111"/>
      <c r="L582" s="111">
        <f>SUM(L577:L581)</f>
        <v>5019</v>
      </c>
      <c r="M582" s="111">
        <f t="shared" ref="M582:AT582" si="935">SUM(M577:M581)</f>
        <v>11967</v>
      </c>
      <c r="N582" s="111">
        <f t="shared" si="935"/>
        <v>12285</v>
      </c>
      <c r="O582" s="111">
        <f t="shared" si="935"/>
        <v>11267</v>
      </c>
      <c r="P582" s="111">
        <f t="shared" si="935"/>
        <v>11042</v>
      </c>
      <c r="Q582" s="111">
        <f t="shared" si="935"/>
        <v>11421</v>
      </c>
      <c r="R582" s="111">
        <f t="shared" si="935"/>
        <v>10549</v>
      </c>
      <c r="S582" s="111">
        <f t="shared" si="935"/>
        <v>13070</v>
      </c>
      <c r="T582" s="111">
        <f t="shared" si="935"/>
        <v>14060</v>
      </c>
      <c r="U582" s="111">
        <f t="shared" si="935"/>
        <v>15557</v>
      </c>
      <c r="V582" s="111">
        <f t="shared" si="935"/>
        <v>16115</v>
      </c>
      <c r="W582" s="111">
        <f t="shared" si="935"/>
        <v>13390</v>
      </c>
      <c r="X582" s="111">
        <f t="shared" si="935"/>
        <v>15004</v>
      </c>
      <c r="Y582" s="111">
        <f t="shared" si="935"/>
        <v>16951</v>
      </c>
      <c r="Z582" s="111">
        <f t="shared" si="935"/>
        <v>19139</v>
      </c>
      <c r="AA582" s="111">
        <f t="shared" si="935"/>
        <v>21652</v>
      </c>
      <c r="AB582" s="111">
        <f t="shared" si="935"/>
        <v>23812</v>
      </c>
      <c r="AC582" s="111">
        <f t="shared" si="935"/>
        <v>27010</v>
      </c>
      <c r="AD582" s="111">
        <f t="shared" si="935"/>
        <v>30328</v>
      </c>
      <c r="AE582" s="111">
        <f t="shared" si="935"/>
        <v>34401</v>
      </c>
      <c r="AF582" s="111">
        <f t="shared" si="935"/>
        <v>36930</v>
      </c>
      <c r="AG582" s="111">
        <f t="shared" si="935"/>
        <v>40804</v>
      </c>
      <c r="AH582" s="111">
        <f t="shared" si="935"/>
        <v>44203</v>
      </c>
      <c r="AI582" s="111">
        <f t="shared" si="935"/>
        <v>48563</v>
      </c>
      <c r="AJ582" s="111">
        <f t="shared" si="935"/>
        <v>50412</v>
      </c>
      <c r="AK582" s="111">
        <f t="shared" si="935"/>
        <v>49833</v>
      </c>
      <c r="AL582" s="111">
        <f t="shared" si="935"/>
        <v>49147</v>
      </c>
      <c r="AM582" s="111">
        <f t="shared" si="935"/>
        <v>50480</v>
      </c>
      <c r="AN582" s="111">
        <f t="shared" si="935"/>
        <v>53300</v>
      </c>
      <c r="AO582" s="111">
        <f t="shared" si="935"/>
        <v>57961</v>
      </c>
      <c r="AP582" s="111">
        <f t="shared" si="935"/>
        <v>62079</v>
      </c>
      <c r="AQ582" s="111">
        <f t="shared" si="935"/>
        <v>66225</v>
      </c>
      <c r="AR582" s="111">
        <f t="shared" si="935"/>
        <v>69349</v>
      </c>
      <c r="AS582" s="111">
        <f t="shared" si="935"/>
        <v>68130</v>
      </c>
      <c r="AT582" s="111">
        <f t="shared" si="935"/>
        <v>65799</v>
      </c>
      <c r="AU582" s="111">
        <f t="shared" ref="AU582:AZ582" si="936">SUM(AU577:AU581)</f>
        <v>75670</v>
      </c>
      <c r="AV582" s="111">
        <f t="shared" si="936"/>
        <v>77322</v>
      </c>
      <c r="AW582" s="111">
        <f t="shared" si="936"/>
        <v>80697</v>
      </c>
      <c r="AX582" s="111">
        <f t="shared" si="936"/>
        <v>75421</v>
      </c>
      <c r="AY582" s="111">
        <f t="shared" si="936"/>
        <v>66666</v>
      </c>
      <c r="AZ582" s="111">
        <f t="shared" si="936"/>
        <v>59265</v>
      </c>
      <c r="BA582" s="111">
        <f t="shared" ref="BA582:BI582" si="937">SUM(BA577:BA581)</f>
        <v>55987</v>
      </c>
      <c r="BB582" s="111">
        <f t="shared" si="937"/>
        <v>58315</v>
      </c>
      <c r="BC582" s="111">
        <f t="shared" si="937"/>
        <v>59549</v>
      </c>
      <c r="BD582" s="111">
        <f t="shared" si="937"/>
        <v>52483</v>
      </c>
      <c r="BE582" s="111">
        <f t="shared" si="937"/>
        <v>69560</v>
      </c>
      <c r="BF582" s="111">
        <f t="shared" si="937"/>
        <v>78378</v>
      </c>
      <c r="BG582" s="111">
        <f t="shared" si="937"/>
        <v>85365</v>
      </c>
      <c r="BH582" s="111">
        <f t="shared" si="937"/>
        <v>75330</v>
      </c>
      <c r="BI582" s="111">
        <f t="shared" si="937"/>
        <v>76431</v>
      </c>
      <c r="BJ582" s="111">
        <f t="shared" ref="BJ582" si="938">SUM(BJ577:BJ581)</f>
        <v>91067</v>
      </c>
      <c r="BK582" s="111"/>
      <c r="BL582" s="111"/>
      <c r="BM582" s="111"/>
      <c r="BN582" s="111"/>
      <c r="BO582" s="111"/>
      <c r="BS582" s="111"/>
      <c r="BT582" s="111">
        <f>SUM(BT577:BT581)</f>
        <v>2246</v>
      </c>
      <c r="BU582" s="111">
        <f>SUM(BU577:BU581)</f>
        <v>4604</v>
      </c>
      <c r="BV582" s="111">
        <f>SUM(BV577:BV581)</f>
        <v>11267</v>
      </c>
      <c r="BW582" s="111">
        <f t="shared" ref="BW582:CC582" si="939">SUM(BW577:BW581)</f>
        <v>13070</v>
      </c>
      <c r="BX582" s="111">
        <f t="shared" si="939"/>
        <v>13390</v>
      </c>
      <c r="BY582" s="111">
        <f t="shared" si="939"/>
        <v>21652</v>
      </c>
      <c r="BZ582" s="111">
        <f t="shared" si="939"/>
        <v>34401</v>
      </c>
      <c r="CA582" s="111">
        <f t="shared" si="939"/>
        <v>48563</v>
      </c>
      <c r="CB582" s="111">
        <f t="shared" si="939"/>
        <v>50480</v>
      </c>
      <c r="CC582" s="111">
        <f t="shared" si="939"/>
        <v>66225</v>
      </c>
      <c r="CD582" s="111">
        <f t="shared" si="934"/>
        <v>75670</v>
      </c>
      <c r="CE582" s="111">
        <f t="shared" si="931"/>
        <v>66666</v>
      </c>
      <c r="CF582" s="111">
        <f t="shared" si="932"/>
        <v>59549</v>
      </c>
      <c r="CG582" s="111">
        <f t="shared" si="933"/>
        <v>85365</v>
      </c>
      <c r="CH582" s="111"/>
      <c r="CI582" s="111"/>
    </row>
    <row r="583" spans="2:87" x14ac:dyDescent="0.2">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c r="AE583" s="64"/>
      <c r="AF583" s="64"/>
      <c r="AG583" s="64"/>
      <c r="AH583" s="64"/>
      <c r="AI583" s="64"/>
      <c r="AJ583" s="64"/>
      <c r="AK583" s="64"/>
      <c r="AL583" s="64"/>
      <c r="AM583" s="64"/>
      <c r="AN583" s="64"/>
      <c r="AO583" s="64"/>
      <c r="AP583" s="64"/>
      <c r="AQ583" s="64"/>
      <c r="AR583" s="64"/>
      <c r="AS583" s="64"/>
      <c r="AT583" s="64"/>
      <c r="AU583" s="64"/>
      <c r="AV583" s="64"/>
      <c r="AW583" s="64"/>
      <c r="AX583" s="64"/>
      <c r="AY583" s="64"/>
      <c r="AZ583" s="64"/>
      <c r="BA583" s="64"/>
      <c r="BB583" s="64"/>
      <c r="BC583" s="64"/>
      <c r="BD583" s="64"/>
      <c r="BE583" s="64"/>
      <c r="BF583" s="64"/>
      <c r="BG583" s="64"/>
      <c r="BH583" s="64"/>
      <c r="BI583" s="64"/>
      <c r="BJ583" s="64"/>
      <c r="BK583" s="64"/>
      <c r="BL583" s="64"/>
      <c r="BM583" s="64"/>
      <c r="BN583" s="64"/>
      <c r="BO583" s="64"/>
      <c r="BS583" s="64"/>
      <c r="BT583" s="64"/>
      <c r="BU583" s="64"/>
      <c r="BV583" s="64"/>
      <c r="BW583" s="64"/>
      <c r="BX583" s="64"/>
      <c r="BY583" s="64"/>
      <c r="BZ583" s="64"/>
      <c r="CA583" s="64"/>
      <c r="CB583" s="64"/>
      <c r="CC583" s="64"/>
      <c r="CD583" s="64"/>
      <c r="CE583" s="64"/>
      <c r="CF583" s="64"/>
      <c r="CG583" s="64"/>
      <c r="CH583" s="64"/>
      <c r="CI583" s="64"/>
    </row>
    <row r="584" spans="2:87" x14ac:dyDescent="0.2">
      <c r="B584" t="s">
        <v>194</v>
      </c>
      <c r="H584" s="64"/>
      <c r="I584" s="64"/>
      <c r="J584" s="64"/>
      <c r="K584" s="64"/>
      <c r="L584" s="81">
        <v>1855</v>
      </c>
      <c r="M584" s="81">
        <v>2105</v>
      </c>
      <c r="N584" s="81">
        <v>2289</v>
      </c>
      <c r="O584" s="81">
        <v>2391</v>
      </c>
      <c r="P584" s="81">
        <v>2533</v>
      </c>
      <c r="Q584" s="81">
        <v>2577</v>
      </c>
      <c r="R584" s="81">
        <v>2685</v>
      </c>
      <c r="S584" s="81">
        <v>2882</v>
      </c>
      <c r="T584" s="81">
        <v>3074</v>
      </c>
      <c r="U584" s="81">
        <v>3334</v>
      </c>
      <c r="V584" s="81">
        <v>3703</v>
      </c>
      <c r="W584" s="81">
        <v>3967</v>
      </c>
      <c r="X584" s="81">
        <v>4619</v>
      </c>
      <c r="Y584" s="81">
        <v>4955</v>
      </c>
      <c r="Z584" s="81">
        <v>5335</v>
      </c>
      <c r="AA584" s="81">
        <v>5687</v>
      </c>
      <c r="AB584" s="81">
        <v>6467</v>
      </c>
      <c r="AC584" s="81">
        <v>7104</v>
      </c>
      <c r="AD584" s="81">
        <v>7899</v>
      </c>
      <c r="AE584" s="81">
        <v>8591</v>
      </c>
      <c r="AF584" s="81">
        <v>9462</v>
      </c>
      <c r="AG584" s="81">
        <v>10628</v>
      </c>
      <c r="AH584" s="81">
        <v>12158</v>
      </c>
      <c r="AI584" s="81">
        <v>13721</v>
      </c>
      <c r="AJ584" s="81">
        <v>16211</v>
      </c>
      <c r="AK584" s="81">
        <v>18357</v>
      </c>
      <c r="AL584" s="81">
        <v>21112</v>
      </c>
      <c r="AM584" s="81">
        <v>24683</v>
      </c>
      <c r="AN584" s="81">
        <v>27345</v>
      </c>
      <c r="AO584" s="81">
        <v>29999</v>
      </c>
      <c r="AP584" s="81">
        <v>32284</v>
      </c>
      <c r="AQ584" s="81">
        <v>35323</v>
      </c>
      <c r="AR584" s="81">
        <v>37127</v>
      </c>
      <c r="AS584" s="81">
        <v>39006</v>
      </c>
      <c r="AT584" s="81">
        <v>42291</v>
      </c>
      <c r="AU584" s="81">
        <v>45633</v>
      </c>
      <c r="AV584" s="81">
        <v>47720</v>
      </c>
      <c r="AW584" s="81">
        <v>50909</v>
      </c>
      <c r="AX584" s="81">
        <v>53726</v>
      </c>
      <c r="AY584" s="81">
        <v>57809</v>
      </c>
      <c r="AZ584" s="81">
        <v>61582</v>
      </c>
      <c r="BA584" s="81">
        <v>67588</v>
      </c>
      <c r="BB584" s="81">
        <v>73738</v>
      </c>
      <c r="BC584" s="81">
        <v>79518</v>
      </c>
      <c r="BD584" s="81">
        <v>84156</v>
      </c>
      <c r="BE584" s="81">
        <v>87949</v>
      </c>
      <c r="BF584" s="81">
        <v>91772</v>
      </c>
      <c r="BG584" s="81">
        <v>96587</v>
      </c>
      <c r="BH584" s="81">
        <v>98908</v>
      </c>
      <c r="BI584" s="81">
        <v>102959</v>
      </c>
      <c r="BJ584" s="81">
        <v>112162</v>
      </c>
      <c r="BK584" s="81"/>
      <c r="BL584" s="81"/>
      <c r="BM584" s="81"/>
      <c r="BN584" s="81"/>
      <c r="BO584" s="81"/>
      <c r="BS584" s="64"/>
      <c r="BT584" s="81">
        <v>574</v>
      </c>
      <c r="BU584" s="81">
        <v>1475</v>
      </c>
      <c r="BV584" s="64">
        <f>+O584</f>
        <v>2391</v>
      </c>
      <c r="BW584" s="64">
        <f>+S584</f>
        <v>2882</v>
      </c>
      <c r="BX584" s="64">
        <f>+W584</f>
        <v>3967</v>
      </c>
      <c r="BY584" s="64">
        <f>+AA584</f>
        <v>5687</v>
      </c>
      <c r="BZ584" s="64">
        <f>+AE584</f>
        <v>8591</v>
      </c>
      <c r="CA584" s="64">
        <f>+AI584</f>
        <v>13721</v>
      </c>
      <c r="CB584" s="64">
        <f t="shared" ref="CB584:CB590" si="940">+AM584</f>
        <v>24683</v>
      </c>
      <c r="CC584" s="64">
        <f t="shared" ref="CC584:CC590" si="941">+AQ584</f>
        <v>35323</v>
      </c>
      <c r="CD584" s="64">
        <f t="shared" si="934"/>
        <v>45633</v>
      </c>
      <c r="CE584" s="64">
        <f t="shared" ref="CE584:CE591" si="942">+AY584</f>
        <v>57809</v>
      </c>
      <c r="CF584" s="64">
        <f t="shared" ref="CF584:CF591" si="943">+BC584</f>
        <v>79518</v>
      </c>
      <c r="CG584" s="64">
        <f t="shared" ref="CG584:CG591" si="944">+BG584</f>
        <v>96587</v>
      </c>
      <c r="CH584" s="64"/>
      <c r="CI584" s="64"/>
    </row>
    <row r="585" spans="2:87" x14ac:dyDescent="0.2">
      <c r="B585" t="s">
        <v>195</v>
      </c>
      <c r="H585" s="64"/>
      <c r="I585" s="64"/>
      <c r="J585" s="64"/>
      <c r="K585" s="64"/>
      <c r="L585" s="81">
        <v>0</v>
      </c>
      <c r="M585" s="81">
        <v>0</v>
      </c>
      <c r="N585" s="81">
        <v>0</v>
      </c>
      <c r="O585" s="81">
        <v>0</v>
      </c>
      <c r="P585" s="81">
        <v>0</v>
      </c>
      <c r="Q585" s="81">
        <v>0</v>
      </c>
      <c r="R585" s="81">
        <v>0</v>
      </c>
      <c r="S585" s="81">
        <v>839</v>
      </c>
      <c r="T585" s="81">
        <v>0</v>
      </c>
      <c r="U585" s="81">
        <v>0</v>
      </c>
      <c r="V585" s="81">
        <v>2612</v>
      </c>
      <c r="W585" s="81">
        <v>17981</v>
      </c>
      <c r="X585" s="81">
        <v>18005</v>
      </c>
      <c r="Y585" s="81">
        <v>18025</v>
      </c>
      <c r="Z585" s="81">
        <v>18024</v>
      </c>
      <c r="AA585" s="81">
        <v>18026</v>
      </c>
      <c r="AB585" s="81">
        <v>18029</v>
      </c>
      <c r="AC585" s="81">
        <v>18043</v>
      </c>
      <c r="AD585" s="81">
        <v>18085</v>
      </c>
      <c r="AE585" s="81">
        <v>18122</v>
      </c>
      <c r="AF585" s="81">
        <v>18126</v>
      </c>
      <c r="AG585" s="81">
        <v>18129</v>
      </c>
      <c r="AH585" s="81">
        <v>18213</v>
      </c>
      <c r="AI585" s="81">
        <v>18221</v>
      </c>
      <c r="AJ585" s="81">
        <v>18268</v>
      </c>
      <c r="AK585" s="81">
        <v>18263</v>
      </c>
      <c r="AL585" s="81">
        <v>18304</v>
      </c>
      <c r="AM585" s="81">
        <v>18301</v>
      </c>
      <c r="AN585" s="81">
        <v>18333</v>
      </c>
      <c r="AO585" s="81">
        <v>18334</v>
      </c>
      <c r="AP585" s="81">
        <v>18338</v>
      </c>
      <c r="AQ585" s="81">
        <v>18715</v>
      </c>
      <c r="AR585" s="81">
        <v>18811</v>
      </c>
      <c r="AS585" s="81">
        <v>19029</v>
      </c>
      <c r="AT585" s="81">
        <v>19031</v>
      </c>
      <c r="AU585" s="81">
        <v>19050</v>
      </c>
      <c r="AV585" s="81">
        <v>19056</v>
      </c>
      <c r="AW585" s="81">
        <v>19219</v>
      </c>
      <c r="AX585" s="81">
        <v>19065</v>
      </c>
      <c r="AY585" s="81">
        <v>19197</v>
      </c>
      <c r="AZ585" s="81">
        <v>19923</v>
      </c>
      <c r="BA585" s="81">
        <v>20229</v>
      </c>
      <c r="BB585" s="81">
        <v>20268</v>
      </c>
      <c r="BC585" s="81">
        <v>20306</v>
      </c>
      <c r="BD585" s="81">
        <v>20649</v>
      </c>
      <c r="BE585" s="81">
        <v>20659</v>
      </c>
      <c r="BF585" s="81">
        <v>20668</v>
      </c>
      <c r="BG585" s="81">
        <v>20654</v>
      </c>
      <c r="BH585" s="81">
        <v>20654</v>
      </c>
      <c r="BI585" s="81">
        <v>20654</v>
      </c>
      <c r="BJ585" s="81">
        <v>20654</v>
      </c>
      <c r="BK585" s="81"/>
      <c r="BL585" s="81"/>
      <c r="BM585" s="81"/>
      <c r="BN585" s="81"/>
      <c r="BO585" s="81"/>
      <c r="BS585" s="64"/>
      <c r="BT585" s="81">
        <v>0</v>
      </c>
      <c r="BU585" s="81">
        <v>0</v>
      </c>
      <c r="BV585" s="64">
        <f t="shared" ref="BV585:BV590" si="945">+O585</f>
        <v>0</v>
      </c>
      <c r="BW585" s="64">
        <f t="shared" ref="BW585:BW590" si="946">+S585</f>
        <v>839</v>
      </c>
      <c r="BX585" s="64">
        <f t="shared" ref="BX585:BX590" si="947">+W585</f>
        <v>17981</v>
      </c>
      <c r="BY585" s="64">
        <f t="shared" ref="BY585:BY590" si="948">+AA585</f>
        <v>18026</v>
      </c>
      <c r="BZ585" s="64">
        <f t="shared" ref="BZ585:BZ590" si="949">+AE585</f>
        <v>18122</v>
      </c>
      <c r="CA585" s="64">
        <f t="shared" ref="CA585:CA590" si="950">+AI585</f>
        <v>18221</v>
      </c>
      <c r="CB585" s="64">
        <f t="shared" si="940"/>
        <v>18301</v>
      </c>
      <c r="CC585" s="64">
        <f t="shared" si="941"/>
        <v>18715</v>
      </c>
      <c r="CD585" s="64">
        <f t="shared" si="934"/>
        <v>19050</v>
      </c>
      <c r="CE585" s="64">
        <f t="shared" si="942"/>
        <v>19197</v>
      </c>
      <c r="CF585" s="64">
        <f t="shared" si="943"/>
        <v>20306</v>
      </c>
      <c r="CG585" s="64">
        <f t="shared" si="944"/>
        <v>20654</v>
      </c>
      <c r="CH585" s="64"/>
      <c r="CI585" s="64"/>
    </row>
    <row r="586" spans="2:87" x14ac:dyDescent="0.2">
      <c r="B586" t="s">
        <v>196</v>
      </c>
      <c r="H586" s="64"/>
      <c r="I586" s="64"/>
      <c r="J586" s="64"/>
      <c r="K586" s="64"/>
      <c r="L586" s="81">
        <v>0</v>
      </c>
      <c r="M586" s="81">
        <v>0</v>
      </c>
      <c r="N586" s="81">
        <v>0</v>
      </c>
      <c r="O586" s="81">
        <v>0</v>
      </c>
      <c r="P586" s="81">
        <v>0</v>
      </c>
      <c r="Q586" s="81">
        <v>0</v>
      </c>
      <c r="R586" s="81">
        <v>0</v>
      </c>
      <c r="S586" s="81">
        <v>883</v>
      </c>
      <c r="T586" s="81">
        <v>0</v>
      </c>
      <c r="U586" s="81">
        <v>0</v>
      </c>
      <c r="V586" s="81">
        <v>1317</v>
      </c>
      <c r="W586" s="81">
        <v>3929</v>
      </c>
      <c r="X586" s="81">
        <v>3774</v>
      </c>
      <c r="Y586" s="81">
        <v>3605</v>
      </c>
      <c r="Z586" s="81">
        <v>3437</v>
      </c>
      <c r="AA586" s="81">
        <v>3246</v>
      </c>
      <c r="AB586" s="81">
        <v>3067</v>
      </c>
      <c r="AC586" s="81">
        <v>2879</v>
      </c>
      <c r="AD586" s="81">
        <v>2702</v>
      </c>
      <c r="AE586" s="81">
        <v>2535</v>
      </c>
      <c r="AF586" s="81">
        <v>2360</v>
      </c>
      <c r="AG586" s="81">
        <v>2186</v>
      </c>
      <c r="AH586" s="81">
        <v>2050</v>
      </c>
      <c r="AI586" s="81">
        <v>1884</v>
      </c>
      <c r="AJ586" s="81">
        <v>1735</v>
      </c>
      <c r="AK586" s="81">
        <v>1573</v>
      </c>
      <c r="AL586" s="81">
        <v>1451</v>
      </c>
      <c r="AM586" s="81">
        <v>1294</v>
      </c>
      <c r="AN586" s="81">
        <v>1150</v>
      </c>
      <c r="AO586" s="81">
        <v>994</v>
      </c>
      <c r="AP586" s="81">
        <v>853</v>
      </c>
      <c r="AQ586" s="81">
        <v>894</v>
      </c>
      <c r="AR586" s="81">
        <v>838</v>
      </c>
      <c r="AS586" s="81">
        <v>859</v>
      </c>
      <c r="AT586" s="81">
        <v>744</v>
      </c>
      <c r="AU586" s="81">
        <v>623</v>
      </c>
      <c r="AV586" s="81">
        <v>505</v>
      </c>
      <c r="AW586" s="81">
        <v>514</v>
      </c>
      <c r="AX586" s="81">
        <v>365</v>
      </c>
      <c r="AY586" s="81">
        <v>634</v>
      </c>
      <c r="AZ586" s="81">
        <v>910</v>
      </c>
      <c r="BA586" s="81">
        <v>965</v>
      </c>
      <c r="BB586" s="81">
        <v>875</v>
      </c>
      <c r="BC586" s="81">
        <v>897</v>
      </c>
      <c r="BD586" s="81">
        <v>949</v>
      </c>
      <c r="BE586" s="81">
        <v>856</v>
      </c>
      <c r="BF586" s="81">
        <v>813</v>
      </c>
      <c r="BG586" s="81">
        <v>788</v>
      </c>
      <c r="BH586" s="81">
        <v>0</v>
      </c>
      <c r="BI586" s="81">
        <v>0</v>
      </c>
      <c r="BJ586" s="81">
        <v>0</v>
      </c>
      <c r="BK586" s="81"/>
      <c r="BL586" s="81"/>
      <c r="BM586" s="81"/>
      <c r="BN586" s="81"/>
      <c r="BO586" s="81"/>
      <c r="BS586" s="64"/>
      <c r="BT586" s="81">
        <v>0</v>
      </c>
      <c r="BU586" s="81">
        <v>0</v>
      </c>
      <c r="BV586" s="64">
        <f t="shared" si="945"/>
        <v>0</v>
      </c>
      <c r="BW586" s="64">
        <f t="shared" si="946"/>
        <v>883</v>
      </c>
      <c r="BX586" s="64">
        <f t="shared" si="947"/>
        <v>3929</v>
      </c>
      <c r="BY586" s="64">
        <f t="shared" si="948"/>
        <v>3246</v>
      </c>
      <c r="BZ586" s="64">
        <f t="shared" si="949"/>
        <v>2535</v>
      </c>
      <c r="CA586" s="64">
        <f t="shared" si="950"/>
        <v>1884</v>
      </c>
      <c r="CB586" s="64">
        <f t="shared" si="940"/>
        <v>1294</v>
      </c>
      <c r="CC586" s="64">
        <f t="shared" si="941"/>
        <v>894</v>
      </c>
      <c r="CD586" s="64">
        <f t="shared" si="934"/>
        <v>623</v>
      </c>
      <c r="CE586" s="64">
        <f t="shared" si="942"/>
        <v>634</v>
      </c>
      <c r="CF586" s="64">
        <f t="shared" si="943"/>
        <v>897</v>
      </c>
      <c r="CG586" s="64">
        <f t="shared" si="944"/>
        <v>788</v>
      </c>
      <c r="CH586" s="64"/>
      <c r="CI586" s="64"/>
    </row>
    <row r="587" spans="2:87" x14ac:dyDescent="0.2">
      <c r="B587" t="s">
        <v>197</v>
      </c>
      <c r="H587" s="64"/>
      <c r="I587" s="64"/>
      <c r="J587" s="64"/>
      <c r="K587" s="64"/>
      <c r="L587" s="81">
        <v>189</v>
      </c>
      <c r="M587" s="81">
        <v>809</v>
      </c>
      <c r="N587" s="81">
        <v>1423</v>
      </c>
      <c r="O587" s="81">
        <v>1388</v>
      </c>
      <c r="P587" s="81">
        <v>1501</v>
      </c>
      <c r="Q587" s="81">
        <v>1631</v>
      </c>
      <c r="R587" s="81">
        <v>1609</v>
      </c>
      <c r="S587" s="81">
        <v>0</v>
      </c>
      <c r="T587" s="81">
        <v>1682</v>
      </c>
      <c r="U587" s="81">
        <v>1672</v>
      </c>
      <c r="V587" s="81">
        <v>0</v>
      </c>
      <c r="W587" s="81">
        <v>0</v>
      </c>
      <c r="X587" s="81">
        <v>0</v>
      </c>
      <c r="Y587" s="81">
        <v>0</v>
      </c>
      <c r="Z587" s="81">
        <v>0</v>
      </c>
      <c r="AA587" s="81">
        <v>0</v>
      </c>
      <c r="AB587" s="81">
        <v>0</v>
      </c>
      <c r="AC587" s="81">
        <v>0</v>
      </c>
      <c r="AD587" s="81">
        <v>0</v>
      </c>
      <c r="AE587" s="81">
        <v>0</v>
      </c>
      <c r="AF587" s="81">
        <v>0</v>
      </c>
      <c r="AG587" s="81">
        <v>0</v>
      </c>
      <c r="AH587" s="81">
        <v>0</v>
      </c>
      <c r="AI587" s="81">
        <v>0</v>
      </c>
      <c r="AJ587" s="81">
        <v>0</v>
      </c>
      <c r="AK587" s="81">
        <v>0</v>
      </c>
      <c r="AL587" s="81">
        <v>0</v>
      </c>
      <c r="AM587" s="81">
        <v>0</v>
      </c>
      <c r="AN587" s="81">
        <v>0</v>
      </c>
      <c r="AO587" s="81">
        <v>0</v>
      </c>
      <c r="AP587" s="81">
        <v>0</v>
      </c>
      <c r="AQ587" s="81">
        <v>0</v>
      </c>
      <c r="AR587" s="81">
        <v>0</v>
      </c>
      <c r="AS587" s="81">
        <v>0</v>
      </c>
      <c r="AT587" s="81">
        <v>0</v>
      </c>
      <c r="AU587" s="81">
        <v>0</v>
      </c>
      <c r="AV587" s="81">
        <v>0</v>
      </c>
      <c r="AW587" s="81">
        <v>0</v>
      </c>
      <c r="AX587" s="81">
        <v>0</v>
      </c>
      <c r="AY587" s="81">
        <v>0</v>
      </c>
      <c r="AZ587" s="81">
        <v>0</v>
      </c>
      <c r="BA587" s="81">
        <v>0</v>
      </c>
      <c r="BB587" s="81">
        <v>0</v>
      </c>
      <c r="BC587" s="81">
        <v>0</v>
      </c>
      <c r="BD587" s="81">
        <v>0</v>
      </c>
      <c r="BE587" s="81">
        <v>0</v>
      </c>
      <c r="BF587" s="81">
        <v>0</v>
      </c>
      <c r="BG587" s="81">
        <v>0</v>
      </c>
      <c r="BH587" s="81">
        <v>0</v>
      </c>
      <c r="BI587" s="81">
        <v>0</v>
      </c>
      <c r="BJ587" s="81">
        <v>0</v>
      </c>
      <c r="BK587" s="81"/>
      <c r="BL587" s="81"/>
      <c r="BM587" s="81"/>
      <c r="BN587" s="81"/>
      <c r="BO587" s="81"/>
      <c r="BS587" s="64"/>
      <c r="BT587" s="81">
        <v>96</v>
      </c>
      <c r="BU587" s="81">
        <v>162</v>
      </c>
      <c r="BV587" s="64">
        <f t="shared" si="945"/>
        <v>1388</v>
      </c>
      <c r="BW587" s="64">
        <f t="shared" si="946"/>
        <v>0</v>
      </c>
      <c r="BX587" s="64">
        <f t="shared" si="947"/>
        <v>0</v>
      </c>
      <c r="BY587" s="64">
        <f t="shared" si="948"/>
        <v>0</v>
      </c>
      <c r="BZ587" s="64">
        <f t="shared" si="949"/>
        <v>0</v>
      </c>
      <c r="CA587" s="64">
        <f t="shared" si="950"/>
        <v>0</v>
      </c>
      <c r="CB587" s="64">
        <f t="shared" si="940"/>
        <v>0</v>
      </c>
      <c r="CC587" s="64">
        <f t="shared" si="941"/>
        <v>0</v>
      </c>
      <c r="CD587" s="64">
        <f t="shared" si="934"/>
        <v>0</v>
      </c>
      <c r="CE587" s="64">
        <f t="shared" si="942"/>
        <v>0</v>
      </c>
      <c r="CF587" s="64">
        <f t="shared" si="943"/>
        <v>0</v>
      </c>
      <c r="CG587" s="64">
        <f t="shared" si="944"/>
        <v>0</v>
      </c>
      <c r="CH587" s="64"/>
      <c r="CI587" s="64"/>
    </row>
    <row r="588" spans="2:87" x14ac:dyDescent="0.2">
      <c r="B588" t="s">
        <v>198</v>
      </c>
      <c r="H588" s="64"/>
      <c r="I588" s="64"/>
      <c r="J588" s="64"/>
      <c r="K588" s="64"/>
      <c r="L588" s="81">
        <v>0</v>
      </c>
      <c r="M588" s="81">
        <v>0</v>
      </c>
      <c r="N588" s="81">
        <v>0</v>
      </c>
      <c r="O588" s="81">
        <v>0</v>
      </c>
      <c r="P588" s="81">
        <v>0</v>
      </c>
      <c r="Q588" s="81">
        <v>0</v>
      </c>
      <c r="R588" s="81">
        <v>0</v>
      </c>
      <c r="S588" s="81">
        <v>0</v>
      </c>
      <c r="T588" s="81">
        <v>0</v>
      </c>
      <c r="U588" s="81">
        <v>0</v>
      </c>
      <c r="V588" s="81">
        <v>0</v>
      </c>
      <c r="W588" s="81">
        <v>0</v>
      </c>
      <c r="X588" s="81">
        <v>0</v>
      </c>
      <c r="Y588" s="81">
        <v>0</v>
      </c>
      <c r="Z588" s="81">
        <v>0</v>
      </c>
      <c r="AA588" s="81">
        <v>0</v>
      </c>
      <c r="AB588" s="81">
        <v>0</v>
      </c>
      <c r="AC588" s="81">
        <v>0</v>
      </c>
      <c r="AD588" s="81">
        <v>0</v>
      </c>
      <c r="AE588" s="81">
        <v>0</v>
      </c>
      <c r="AF588" s="81">
        <v>0</v>
      </c>
      <c r="AG588" s="81">
        <v>0</v>
      </c>
      <c r="AH588" s="81">
        <v>0</v>
      </c>
      <c r="AI588" s="81">
        <v>0</v>
      </c>
      <c r="AJ588" s="81">
        <v>0</v>
      </c>
      <c r="AK588" s="81">
        <v>0</v>
      </c>
      <c r="AL588" s="81">
        <v>0</v>
      </c>
      <c r="AM588" s="81">
        <v>0</v>
      </c>
      <c r="AN588" s="81">
        <v>6747</v>
      </c>
      <c r="AO588" s="81">
        <v>7272</v>
      </c>
      <c r="AP588" s="81">
        <v>8403</v>
      </c>
      <c r="AQ588" s="81">
        <v>9460</v>
      </c>
      <c r="AR588" s="81">
        <v>9359</v>
      </c>
      <c r="AS588" s="81">
        <v>9429</v>
      </c>
      <c r="AT588" s="81">
        <v>9439</v>
      </c>
      <c r="AU588" s="81">
        <v>9348</v>
      </c>
      <c r="AV588" s="81">
        <v>10202</v>
      </c>
      <c r="AW588" s="81">
        <v>10525</v>
      </c>
      <c r="AX588" s="81">
        <v>11063</v>
      </c>
      <c r="AY588" s="81">
        <v>12155</v>
      </c>
      <c r="AZ588" s="81">
        <v>12241</v>
      </c>
      <c r="BA588" s="81">
        <v>14130</v>
      </c>
      <c r="BB588" s="81">
        <v>13641</v>
      </c>
      <c r="BC588" s="81">
        <v>12673</v>
      </c>
      <c r="BD588" s="81">
        <v>12899</v>
      </c>
      <c r="BE588" s="81">
        <v>12955</v>
      </c>
      <c r="BF588" s="81">
        <v>13033</v>
      </c>
      <c r="BG588" s="81">
        <v>13294</v>
      </c>
      <c r="BH588" s="81">
        <v>13555</v>
      </c>
      <c r="BI588" s="81">
        <v>14058</v>
      </c>
      <c r="BJ588" s="81">
        <v>14812</v>
      </c>
      <c r="BK588" s="81"/>
      <c r="BL588" s="81"/>
      <c r="BM588" s="81"/>
      <c r="BN588" s="81"/>
      <c r="BO588" s="81"/>
      <c r="BS588" s="64"/>
      <c r="BT588" s="81">
        <v>0</v>
      </c>
      <c r="BU588" s="81">
        <v>0</v>
      </c>
      <c r="BV588" s="64">
        <f t="shared" si="945"/>
        <v>0</v>
      </c>
      <c r="BW588" s="64">
        <f t="shared" si="946"/>
        <v>0</v>
      </c>
      <c r="BX588" s="64">
        <f t="shared" si="947"/>
        <v>0</v>
      </c>
      <c r="BY588" s="64">
        <f t="shared" si="948"/>
        <v>0</v>
      </c>
      <c r="BZ588" s="64">
        <f t="shared" si="949"/>
        <v>0</v>
      </c>
      <c r="CA588" s="64">
        <f t="shared" si="950"/>
        <v>0</v>
      </c>
      <c r="CB588" s="64">
        <f t="shared" si="940"/>
        <v>0</v>
      </c>
      <c r="CC588" s="64">
        <f t="shared" si="941"/>
        <v>9460</v>
      </c>
      <c r="CD588" s="64">
        <f t="shared" si="934"/>
        <v>9348</v>
      </c>
      <c r="CE588" s="64">
        <f t="shared" si="942"/>
        <v>12155</v>
      </c>
      <c r="CF588" s="64">
        <f t="shared" si="943"/>
        <v>12673</v>
      </c>
      <c r="CG588" s="64">
        <f t="shared" si="944"/>
        <v>13294</v>
      </c>
      <c r="CH588" s="64"/>
      <c r="CI588" s="64"/>
    </row>
    <row r="589" spans="2:87" x14ac:dyDescent="0.2">
      <c r="B589" t="s">
        <v>199</v>
      </c>
      <c r="H589" s="64"/>
      <c r="I589" s="64"/>
      <c r="J589" s="64"/>
      <c r="K589" s="64"/>
      <c r="L589" s="81"/>
      <c r="M589" s="81"/>
      <c r="N589" s="81"/>
      <c r="O589" s="81"/>
      <c r="P589" s="81"/>
      <c r="Q589" s="81"/>
      <c r="R589" s="81"/>
      <c r="S589" s="81"/>
      <c r="T589" s="81"/>
      <c r="U589" s="81"/>
      <c r="V589" s="81"/>
      <c r="W589" s="81"/>
      <c r="X589" s="81"/>
      <c r="Y589" s="81"/>
      <c r="Z589" s="81"/>
      <c r="AA589" s="81"/>
      <c r="AB589" s="81"/>
      <c r="AC589" s="81"/>
      <c r="AD589" s="81"/>
      <c r="AE589" s="81"/>
      <c r="AF589" s="81">
        <v>0</v>
      </c>
      <c r="AG589" s="81">
        <v>0</v>
      </c>
      <c r="AH589" s="81">
        <v>0</v>
      </c>
      <c r="AI589" s="81">
        <v>0</v>
      </c>
      <c r="AJ589" s="81">
        <v>0</v>
      </c>
      <c r="AK589" s="81">
        <v>0</v>
      </c>
      <c r="AL589" s="81">
        <v>0</v>
      </c>
      <c r="AM589" s="81">
        <v>0</v>
      </c>
      <c r="AN589" s="81">
        <v>0</v>
      </c>
      <c r="AO589" s="81">
        <v>0</v>
      </c>
      <c r="AP589" s="81">
        <v>0</v>
      </c>
      <c r="AQ589" s="81">
        <v>0</v>
      </c>
      <c r="AR589" s="81">
        <v>0</v>
      </c>
      <c r="AS589" s="81">
        <v>0</v>
      </c>
      <c r="AT589" s="81">
        <v>6164</v>
      </c>
      <c r="AU589" s="81">
        <v>6234</v>
      </c>
      <c r="AV589" s="81">
        <v>6342</v>
      </c>
      <c r="AW589" s="81">
        <v>6393</v>
      </c>
      <c r="AX589" s="81">
        <v>6758</v>
      </c>
      <c r="AY589" s="81">
        <v>6775</v>
      </c>
      <c r="AZ589" s="81">
        <v>6775</v>
      </c>
      <c r="BA589" s="81">
        <v>6536</v>
      </c>
      <c r="BB589" s="81">
        <v>6528</v>
      </c>
      <c r="BC589" s="81">
        <v>6201</v>
      </c>
      <c r="BD589" s="81">
        <v>6167</v>
      </c>
      <c r="BE589" s="81">
        <v>6208</v>
      </c>
      <c r="BF589" s="81">
        <v>6142</v>
      </c>
      <c r="BG589" s="81">
        <v>6141</v>
      </c>
      <c r="BH589" s="81">
        <v>6218</v>
      </c>
      <c r="BI589" s="81">
        <v>6207</v>
      </c>
      <c r="BJ589" s="81">
        <v>6071</v>
      </c>
      <c r="BK589" s="81"/>
      <c r="BL589" s="81"/>
      <c r="BM589" s="81"/>
      <c r="BN589" s="81"/>
      <c r="BO589" s="81"/>
      <c r="BS589" s="64"/>
      <c r="BT589" s="81">
        <v>0</v>
      </c>
      <c r="BU589" s="81"/>
      <c r="BV589" s="64">
        <f t="shared" si="945"/>
        <v>0</v>
      </c>
      <c r="BW589" s="64">
        <f t="shared" si="946"/>
        <v>0</v>
      </c>
      <c r="BX589" s="64">
        <f t="shared" si="947"/>
        <v>0</v>
      </c>
      <c r="BY589" s="64">
        <f t="shared" si="948"/>
        <v>0</v>
      </c>
      <c r="BZ589" s="64">
        <f t="shared" si="949"/>
        <v>0</v>
      </c>
      <c r="CA589" s="64">
        <f t="shared" si="950"/>
        <v>0</v>
      </c>
      <c r="CB589" s="64">
        <f t="shared" si="940"/>
        <v>0</v>
      </c>
      <c r="CC589" s="64">
        <f t="shared" si="941"/>
        <v>0</v>
      </c>
      <c r="CD589" s="64">
        <f t="shared" si="934"/>
        <v>6234</v>
      </c>
      <c r="CE589" s="64">
        <f t="shared" si="942"/>
        <v>6775</v>
      </c>
      <c r="CF589" s="64">
        <f t="shared" si="943"/>
        <v>6201</v>
      </c>
      <c r="CG589" s="64">
        <f t="shared" si="944"/>
        <v>6141</v>
      </c>
      <c r="CH589" s="64"/>
      <c r="CI589" s="64"/>
    </row>
    <row r="590" spans="2:87" ht="13.5" x14ac:dyDescent="0.35">
      <c r="B590" t="s">
        <v>156</v>
      </c>
      <c r="H590" s="64"/>
      <c r="I590" s="64"/>
      <c r="J590" s="64"/>
      <c r="K590" s="64"/>
      <c r="L590" s="82">
        <v>121</v>
      </c>
      <c r="M590" s="82">
        <v>47</v>
      </c>
      <c r="N590" s="82">
        <v>41</v>
      </c>
      <c r="O590" s="82">
        <v>57</v>
      </c>
      <c r="P590" s="82">
        <v>87</v>
      </c>
      <c r="Q590" s="82">
        <v>95</v>
      </c>
      <c r="R590" s="82">
        <v>90</v>
      </c>
      <c r="S590" s="82">
        <v>221</v>
      </c>
      <c r="T590" s="82">
        <v>212</v>
      </c>
      <c r="U590" s="82">
        <v>206</v>
      </c>
      <c r="V590" s="82">
        <v>441</v>
      </c>
      <c r="W590" s="82">
        <v>699</v>
      </c>
      <c r="X590" s="82">
        <v>605</v>
      </c>
      <c r="Y590" s="82">
        <v>594</v>
      </c>
      <c r="Z590" s="82">
        <v>534</v>
      </c>
      <c r="AA590" s="82">
        <v>796</v>
      </c>
      <c r="AB590" s="82">
        <v>700</v>
      </c>
      <c r="AC590" s="82">
        <v>703</v>
      </c>
      <c r="AD590" s="82">
        <v>660</v>
      </c>
      <c r="AE590" s="82">
        <v>1312</v>
      </c>
      <c r="AF590" s="82">
        <v>1836</v>
      </c>
      <c r="AG590" s="82">
        <v>2096</v>
      </c>
      <c r="AH590" s="82">
        <v>2374</v>
      </c>
      <c r="AI590" s="82">
        <v>2135</v>
      </c>
      <c r="AJ590" s="82">
        <v>2319</v>
      </c>
      <c r="AK590" s="82">
        <v>2265</v>
      </c>
      <c r="AL590" s="82">
        <v>2438</v>
      </c>
      <c r="AM590" s="82">
        <v>2576</v>
      </c>
      <c r="AN590" s="82">
        <v>2602</v>
      </c>
      <c r="AO590" s="82">
        <v>2446</v>
      </c>
      <c r="AP590" s="82">
        <v>2461</v>
      </c>
      <c r="AQ590" s="82">
        <v>2759</v>
      </c>
      <c r="AR590" s="82">
        <v>2887</v>
      </c>
      <c r="AS590" s="82">
        <v>3238</v>
      </c>
      <c r="AT590" s="82">
        <v>2969</v>
      </c>
      <c r="AU590" s="82">
        <v>2758</v>
      </c>
      <c r="AV590" s="82">
        <v>2376</v>
      </c>
      <c r="AW590" s="82">
        <v>2352</v>
      </c>
      <c r="AX590" s="82">
        <v>3187</v>
      </c>
      <c r="AY590" s="82">
        <v>2751</v>
      </c>
      <c r="AZ590" s="82">
        <v>3522</v>
      </c>
      <c r="BA590" s="82">
        <v>4344</v>
      </c>
      <c r="BB590" s="82">
        <v>5529</v>
      </c>
      <c r="BC590" s="82">
        <v>6583</v>
      </c>
      <c r="BD590" s="82">
        <v>7188</v>
      </c>
      <c r="BE590" s="82">
        <v>8501</v>
      </c>
      <c r="BF590" s="82">
        <v>5468</v>
      </c>
      <c r="BG590" s="82">
        <v>6794</v>
      </c>
      <c r="BH590" s="82">
        <v>8179</v>
      </c>
      <c r="BI590" s="82">
        <v>9929</v>
      </c>
      <c r="BJ590" s="82">
        <v>11642</v>
      </c>
      <c r="BK590" s="82"/>
      <c r="BL590" s="82"/>
      <c r="BM590" s="82"/>
      <c r="BN590" s="82"/>
      <c r="BO590" s="82"/>
      <c r="BS590" s="64"/>
      <c r="BT590" s="82">
        <v>74</v>
      </c>
      <c r="BU590" s="82">
        <v>90</v>
      </c>
      <c r="BV590" s="65">
        <f t="shared" si="945"/>
        <v>57</v>
      </c>
      <c r="BW590" s="65">
        <f t="shared" si="946"/>
        <v>221</v>
      </c>
      <c r="BX590" s="65">
        <f t="shared" si="947"/>
        <v>699</v>
      </c>
      <c r="BY590" s="65">
        <f t="shared" si="948"/>
        <v>796</v>
      </c>
      <c r="BZ590" s="65">
        <f t="shared" si="949"/>
        <v>1312</v>
      </c>
      <c r="CA590" s="65">
        <f t="shared" si="950"/>
        <v>2135</v>
      </c>
      <c r="CB590" s="65">
        <f t="shared" si="940"/>
        <v>2576</v>
      </c>
      <c r="CC590" s="65">
        <f t="shared" si="941"/>
        <v>2759</v>
      </c>
      <c r="CD590" s="65">
        <f t="shared" si="934"/>
        <v>2758</v>
      </c>
      <c r="CE590" s="65">
        <f t="shared" si="942"/>
        <v>2751</v>
      </c>
      <c r="CF590" s="65">
        <f t="shared" si="943"/>
        <v>6583</v>
      </c>
      <c r="CG590" s="65">
        <f t="shared" si="944"/>
        <v>6794</v>
      </c>
      <c r="CH590" s="65"/>
      <c r="CI590" s="65"/>
    </row>
    <row r="591" spans="2:87" s="44" customFormat="1" x14ac:dyDescent="0.2">
      <c r="B591" s="110" t="s">
        <v>200</v>
      </c>
      <c r="H591" s="111"/>
      <c r="I591" s="111"/>
      <c r="J591" s="111"/>
      <c r="K591" s="111"/>
      <c r="L591" s="111">
        <f>+L582+SUM(L584:L590)</f>
        <v>7184</v>
      </c>
      <c r="M591" s="111">
        <f t="shared" ref="M591:AI591" si="951">+M582+SUM(M584:M590)</f>
        <v>14928</v>
      </c>
      <c r="N591" s="111">
        <f t="shared" si="951"/>
        <v>16038</v>
      </c>
      <c r="O591" s="111">
        <f t="shared" si="951"/>
        <v>15103</v>
      </c>
      <c r="P591" s="111">
        <f t="shared" si="951"/>
        <v>15163</v>
      </c>
      <c r="Q591" s="111">
        <f t="shared" si="951"/>
        <v>15724</v>
      </c>
      <c r="R591" s="111">
        <f t="shared" si="951"/>
        <v>14933</v>
      </c>
      <c r="S591" s="111">
        <f t="shared" si="951"/>
        <v>17895</v>
      </c>
      <c r="T591" s="111">
        <f t="shared" si="951"/>
        <v>19028</v>
      </c>
      <c r="U591" s="111">
        <f t="shared" si="951"/>
        <v>20769</v>
      </c>
      <c r="V591" s="111">
        <f t="shared" si="951"/>
        <v>24188</v>
      </c>
      <c r="W591" s="111">
        <f t="shared" si="951"/>
        <v>39966</v>
      </c>
      <c r="X591" s="111">
        <f t="shared" si="951"/>
        <v>42007</v>
      </c>
      <c r="Y591" s="111">
        <f t="shared" si="951"/>
        <v>44130</v>
      </c>
      <c r="Z591" s="111">
        <f t="shared" si="951"/>
        <v>46469</v>
      </c>
      <c r="AA591" s="111">
        <f t="shared" si="951"/>
        <v>49407</v>
      </c>
      <c r="AB591" s="111">
        <f t="shared" si="951"/>
        <v>52075</v>
      </c>
      <c r="AC591" s="111">
        <f t="shared" si="951"/>
        <v>55739</v>
      </c>
      <c r="AD591" s="111">
        <f t="shared" si="951"/>
        <v>59674</v>
      </c>
      <c r="AE591" s="111">
        <f t="shared" si="951"/>
        <v>64961</v>
      </c>
      <c r="AF591" s="111">
        <f t="shared" si="951"/>
        <v>68714</v>
      </c>
      <c r="AG591" s="111">
        <f t="shared" si="951"/>
        <v>73843</v>
      </c>
      <c r="AH591" s="111">
        <f t="shared" si="951"/>
        <v>78998</v>
      </c>
      <c r="AI591" s="111">
        <f t="shared" si="951"/>
        <v>84524</v>
      </c>
      <c r="AJ591" s="111">
        <f t="shared" ref="AJ591:AT591" si="952">+AJ582+SUM(AJ584:AJ590)</f>
        <v>88945</v>
      </c>
      <c r="AK591" s="111">
        <f t="shared" si="952"/>
        <v>90291</v>
      </c>
      <c r="AL591" s="111">
        <f t="shared" si="952"/>
        <v>92452</v>
      </c>
      <c r="AM591" s="111">
        <f t="shared" si="952"/>
        <v>97334</v>
      </c>
      <c r="AN591" s="111">
        <f t="shared" si="952"/>
        <v>109477</v>
      </c>
      <c r="AO591" s="111">
        <f t="shared" si="952"/>
        <v>117006</v>
      </c>
      <c r="AP591" s="111">
        <f t="shared" si="952"/>
        <v>124418</v>
      </c>
      <c r="AQ591" s="111">
        <f t="shared" si="952"/>
        <v>133376</v>
      </c>
      <c r="AR591" s="111">
        <f t="shared" si="952"/>
        <v>138371</v>
      </c>
      <c r="AS591" s="111">
        <f t="shared" si="952"/>
        <v>139691</v>
      </c>
      <c r="AT591" s="111">
        <f t="shared" si="952"/>
        <v>146437</v>
      </c>
      <c r="AU591" s="111">
        <f t="shared" ref="AU591:AZ591" si="953">+AU582+SUM(AU584:AU590)</f>
        <v>159316</v>
      </c>
      <c r="AV591" s="111">
        <f t="shared" si="953"/>
        <v>163523</v>
      </c>
      <c r="AW591" s="111">
        <f t="shared" si="953"/>
        <v>170609</v>
      </c>
      <c r="AX591" s="111">
        <f t="shared" si="953"/>
        <v>169585</v>
      </c>
      <c r="AY591" s="111">
        <f t="shared" si="953"/>
        <v>165987</v>
      </c>
      <c r="AZ591" s="111">
        <f t="shared" si="953"/>
        <v>164218</v>
      </c>
      <c r="BA591" s="111">
        <f t="shared" ref="BA591:BI591" si="954">+BA582+SUM(BA584:BA590)</f>
        <v>169779</v>
      </c>
      <c r="BB591" s="111">
        <f t="shared" si="954"/>
        <v>178894</v>
      </c>
      <c r="BC591" s="111">
        <f t="shared" si="954"/>
        <v>185727</v>
      </c>
      <c r="BD591" s="111">
        <f t="shared" si="954"/>
        <v>184491</v>
      </c>
      <c r="BE591" s="111">
        <f t="shared" si="954"/>
        <v>206688</v>
      </c>
      <c r="BF591" s="111">
        <f t="shared" si="954"/>
        <v>216274</v>
      </c>
      <c r="BG591" s="111">
        <f t="shared" si="954"/>
        <v>229623</v>
      </c>
      <c r="BH591" s="111">
        <f t="shared" si="954"/>
        <v>222844</v>
      </c>
      <c r="BI591" s="111">
        <f t="shared" si="954"/>
        <v>230238</v>
      </c>
      <c r="BJ591" s="111">
        <f t="shared" ref="BJ591" si="955">+BJ582+SUM(BJ584:BJ590)</f>
        <v>256408</v>
      </c>
      <c r="BK591" s="111"/>
      <c r="BL591" s="111"/>
      <c r="BM591" s="111"/>
      <c r="BN591" s="111"/>
      <c r="BO591" s="111"/>
      <c r="BS591" s="111"/>
      <c r="BT591" s="111">
        <f t="shared" ref="BT591:CC591" si="956">+BT582+SUM(BT584:BT590)</f>
        <v>2990</v>
      </c>
      <c r="BU591" s="111">
        <f t="shared" si="956"/>
        <v>6331</v>
      </c>
      <c r="BV591" s="111">
        <f t="shared" si="956"/>
        <v>15103</v>
      </c>
      <c r="BW591" s="111">
        <f t="shared" si="956"/>
        <v>17895</v>
      </c>
      <c r="BX591" s="111">
        <f t="shared" si="956"/>
        <v>39966</v>
      </c>
      <c r="BY591" s="111">
        <f t="shared" si="956"/>
        <v>49407</v>
      </c>
      <c r="BZ591" s="111">
        <f t="shared" si="956"/>
        <v>64961</v>
      </c>
      <c r="CA591" s="111">
        <f t="shared" si="956"/>
        <v>84524</v>
      </c>
      <c r="CB591" s="111">
        <f t="shared" si="956"/>
        <v>97334</v>
      </c>
      <c r="CC591" s="111">
        <f t="shared" si="956"/>
        <v>133376</v>
      </c>
      <c r="CD591" s="111">
        <f t="shared" si="934"/>
        <v>159316</v>
      </c>
      <c r="CE591" s="111">
        <f t="shared" si="942"/>
        <v>165987</v>
      </c>
      <c r="CF591" s="111">
        <f t="shared" si="943"/>
        <v>185727</v>
      </c>
      <c r="CG591" s="111">
        <f t="shared" si="944"/>
        <v>229623</v>
      </c>
      <c r="CH591" s="111"/>
      <c r="CI591" s="111"/>
    </row>
    <row r="592" spans="2:87" x14ac:dyDescent="0.2">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c r="AE592" s="64"/>
      <c r="AF592" s="64"/>
      <c r="AG592" s="64"/>
      <c r="AH592" s="64"/>
      <c r="AI592" s="64"/>
      <c r="AJ592" s="64"/>
      <c r="AK592" s="64"/>
      <c r="AL592" s="64"/>
      <c r="AM592" s="64"/>
      <c r="AN592" s="64"/>
      <c r="AO592" s="64"/>
      <c r="AP592" s="64"/>
      <c r="AQ592" s="64"/>
      <c r="AR592" s="64"/>
      <c r="AS592" s="64"/>
      <c r="AT592" s="64"/>
      <c r="AU592" s="64"/>
      <c r="AV592" s="64"/>
      <c r="AW592" s="64"/>
      <c r="AX592" s="64"/>
      <c r="AY592" s="64"/>
      <c r="AZ592" s="64"/>
      <c r="BA592" s="64"/>
      <c r="BB592" s="64"/>
      <c r="BC592" s="64"/>
      <c r="BD592" s="64"/>
      <c r="BE592" s="64"/>
      <c r="BF592" s="64"/>
      <c r="BG592" s="64"/>
      <c r="BH592" s="64"/>
      <c r="BI592" s="64"/>
      <c r="BJ592" s="64"/>
      <c r="BK592" s="64"/>
      <c r="BL592" s="64"/>
      <c r="BM592" s="64"/>
      <c r="BN592" s="64"/>
      <c r="BO592" s="64"/>
      <c r="BS592" s="64"/>
      <c r="BT592" s="64"/>
      <c r="BU592" s="64"/>
      <c r="BV592" s="64"/>
      <c r="BW592" s="64"/>
      <c r="BX592" s="64"/>
      <c r="BY592" s="64"/>
      <c r="BZ592" s="64"/>
      <c r="CA592" s="64"/>
      <c r="CB592" s="64"/>
      <c r="CC592" s="64"/>
      <c r="CD592" s="64"/>
      <c r="CE592" s="64"/>
      <c r="CF592" s="64"/>
      <c r="CG592" s="64"/>
      <c r="CH592" s="64"/>
      <c r="CI592" s="64"/>
    </row>
    <row r="593" spans="2:87" x14ac:dyDescent="0.2">
      <c r="B593" t="s">
        <v>157</v>
      </c>
      <c r="H593" s="64"/>
      <c r="I593" s="64"/>
      <c r="J593" s="64"/>
      <c r="K593" s="64"/>
      <c r="L593" s="81">
        <v>129</v>
      </c>
      <c r="M593" s="81">
        <v>43</v>
      </c>
      <c r="N593" s="81">
        <v>59</v>
      </c>
      <c r="O593" s="81">
        <v>65</v>
      </c>
      <c r="P593" s="81">
        <v>75</v>
      </c>
      <c r="Q593" s="81">
        <v>55</v>
      </c>
      <c r="R593" s="81">
        <v>36</v>
      </c>
      <c r="S593" s="81">
        <v>87</v>
      </c>
      <c r="T593" s="81">
        <v>85</v>
      </c>
      <c r="U593" s="81">
        <v>146</v>
      </c>
      <c r="V593" s="81">
        <v>120</v>
      </c>
      <c r="W593" s="81">
        <v>176</v>
      </c>
      <c r="X593" s="81">
        <v>129</v>
      </c>
      <c r="Y593" s="81">
        <v>139</v>
      </c>
      <c r="Z593" s="81">
        <v>149</v>
      </c>
      <c r="AA593" s="81">
        <v>196</v>
      </c>
      <c r="AB593" s="81">
        <v>149</v>
      </c>
      <c r="AC593" s="81">
        <v>130</v>
      </c>
      <c r="AD593" s="81">
        <v>260</v>
      </c>
      <c r="AE593" s="81">
        <v>302</v>
      </c>
      <c r="AF593" s="81">
        <v>170</v>
      </c>
      <c r="AG593" s="81">
        <v>323</v>
      </c>
      <c r="AH593" s="81">
        <v>383</v>
      </c>
      <c r="AI593" s="81">
        <v>380</v>
      </c>
      <c r="AJ593" s="81">
        <v>593</v>
      </c>
      <c r="AK593" s="81">
        <v>419</v>
      </c>
      <c r="AL593" s="81">
        <v>590</v>
      </c>
      <c r="AM593" s="81">
        <v>820</v>
      </c>
      <c r="AN593" s="81">
        <v>604</v>
      </c>
      <c r="AO593" s="81">
        <v>655</v>
      </c>
      <c r="AP593" s="81">
        <v>860</v>
      </c>
      <c r="AQ593" s="81">
        <v>1363</v>
      </c>
      <c r="AR593" s="81">
        <v>829</v>
      </c>
      <c r="AS593" s="81">
        <v>920</v>
      </c>
      <c r="AT593" s="81">
        <v>1106</v>
      </c>
      <c r="AU593" s="81">
        <v>1331</v>
      </c>
      <c r="AV593" s="81">
        <v>878</v>
      </c>
      <c r="AW593" s="81">
        <v>973</v>
      </c>
      <c r="AX593" s="81">
        <v>2195</v>
      </c>
      <c r="AY593" s="81">
        <v>4083</v>
      </c>
      <c r="AZ593" s="81">
        <v>3246</v>
      </c>
      <c r="BA593" s="81">
        <v>4008</v>
      </c>
      <c r="BB593" s="81">
        <v>3871</v>
      </c>
      <c r="BC593" s="81">
        <v>4990</v>
      </c>
      <c r="BD593" s="81">
        <v>3672</v>
      </c>
      <c r="BE593" s="81">
        <v>3093</v>
      </c>
      <c r="BF593" s="81">
        <v>4372</v>
      </c>
      <c r="BG593" s="81">
        <v>4849</v>
      </c>
      <c r="BH593" s="81">
        <v>3785</v>
      </c>
      <c r="BI593" s="81">
        <v>3173</v>
      </c>
      <c r="BJ593" s="81">
        <v>7656</v>
      </c>
      <c r="BK593" s="81"/>
      <c r="BL593" s="81"/>
      <c r="BM593" s="81"/>
      <c r="BN593" s="81"/>
      <c r="BO593" s="81"/>
      <c r="BS593" s="64"/>
      <c r="BT593" s="81">
        <v>29</v>
      </c>
      <c r="BU593" s="81">
        <v>63</v>
      </c>
      <c r="BV593" s="64">
        <f t="shared" ref="BV593:BV598" si="957">+O593</f>
        <v>65</v>
      </c>
      <c r="BW593" s="64">
        <f t="shared" ref="BW593:BW598" si="958">+S593</f>
        <v>87</v>
      </c>
      <c r="BX593" s="64">
        <f t="shared" ref="BX593:BX598" si="959">+W593</f>
        <v>176</v>
      </c>
      <c r="BY593" s="64">
        <f t="shared" ref="BY593:BY598" si="960">+AA593</f>
        <v>196</v>
      </c>
      <c r="BZ593" s="64">
        <f t="shared" ref="BZ593:BZ598" si="961">+AE593</f>
        <v>302</v>
      </c>
      <c r="CA593" s="64">
        <f t="shared" ref="CA593:CA598" si="962">+AI593</f>
        <v>380</v>
      </c>
      <c r="CB593" s="64">
        <f t="shared" ref="CB593:CB598" si="963">+AM593</f>
        <v>820</v>
      </c>
      <c r="CC593" s="64">
        <f t="shared" ref="CC593:CC598" si="964">+AQ593</f>
        <v>1363</v>
      </c>
      <c r="CD593" s="64">
        <f t="shared" si="934"/>
        <v>1331</v>
      </c>
      <c r="CE593" s="64">
        <f t="shared" ref="CE593:CE599" si="965">+AY593</f>
        <v>4083</v>
      </c>
      <c r="CF593" s="64">
        <f t="shared" ref="CF593:CF599" si="966">+BC593</f>
        <v>4990</v>
      </c>
      <c r="CG593" s="64">
        <f t="shared" ref="CG593:CG599" si="967">+BG593</f>
        <v>4849</v>
      </c>
      <c r="CH593" s="64"/>
      <c r="CI593" s="64"/>
    </row>
    <row r="594" spans="2:87" x14ac:dyDescent="0.2">
      <c r="B594" t="s">
        <v>159</v>
      </c>
      <c r="H594" s="64"/>
      <c r="I594" s="64"/>
      <c r="J594" s="64"/>
      <c r="K594" s="64"/>
      <c r="L594" s="81">
        <v>337</v>
      </c>
      <c r="M594" s="81">
        <v>441</v>
      </c>
      <c r="N594" s="81">
        <v>409</v>
      </c>
      <c r="O594" s="81">
        <v>423</v>
      </c>
      <c r="P594" s="81">
        <v>430</v>
      </c>
      <c r="Q594" s="81">
        <v>505</v>
      </c>
      <c r="R594" s="81">
        <v>453</v>
      </c>
      <c r="S594" s="81">
        <v>555</v>
      </c>
      <c r="T594" s="81">
        <v>525</v>
      </c>
      <c r="U594" s="81">
        <v>666</v>
      </c>
      <c r="V594" s="81">
        <v>709</v>
      </c>
      <c r="W594" s="81">
        <v>866</v>
      </c>
      <c r="X594" s="81">
        <v>1300</v>
      </c>
      <c r="Y594" s="81">
        <v>1472</v>
      </c>
      <c r="Z594" s="81">
        <v>1338</v>
      </c>
      <c r="AA594" s="81">
        <v>1449</v>
      </c>
      <c r="AB594" s="81">
        <v>1389</v>
      </c>
      <c r="AC594" s="81">
        <v>1770</v>
      </c>
      <c r="AD594" s="81">
        <v>2018</v>
      </c>
      <c r="AE594" s="81">
        <v>2203</v>
      </c>
      <c r="AF594" s="81">
        <v>2400</v>
      </c>
      <c r="AG594" s="81">
        <v>2626</v>
      </c>
      <c r="AH594" s="81">
        <v>2503</v>
      </c>
      <c r="AI594" s="81">
        <v>2892</v>
      </c>
      <c r="AJ594" s="81">
        <v>4003</v>
      </c>
      <c r="AK594" s="81">
        <v>3720</v>
      </c>
      <c r="AL594" s="81">
        <v>4255</v>
      </c>
      <c r="AM594" s="81">
        <v>5509</v>
      </c>
      <c r="AN594" s="81">
        <v>7980</v>
      </c>
      <c r="AO594" s="81">
        <v>10878</v>
      </c>
      <c r="AP594" s="81">
        <v>10877</v>
      </c>
      <c r="AQ594" s="81">
        <v>11735</v>
      </c>
      <c r="AR594" s="81">
        <v>12446</v>
      </c>
      <c r="AS594" s="81">
        <v>8496</v>
      </c>
      <c r="AT594" s="81">
        <v>8684</v>
      </c>
      <c r="AU594" s="81">
        <v>11152</v>
      </c>
      <c r="AV594" s="81">
        <v>9411</v>
      </c>
      <c r="AW594" s="81">
        <v>11510</v>
      </c>
      <c r="AX594" s="81">
        <v>13158</v>
      </c>
      <c r="AY594" s="81">
        <v>14312</v>
      </c>
      <c r="AZ594" s="81">
        <v>15226</v>
      </c>
      <c r="BA594" s="81">
        <v>15420</v>
      </c>
      <c r="BB594" s="81">
        <v>16036</v>
      </c>
      <c r="BC594" s="81">
        <v>19552</v>
      </c>
      <c r="BD594" s="81">
        <v>19345</v>
      </c>
      <c r="BE594" s="81">
        <v>24660</v>
      </c>
      <c r="BF594" s="81">
        <v>23929</v>
      </c>
      <c r="BG594" s="81">
        <v>24625</v>
      </c>
      <c r="BH594" s="81">
        <v>22640</v>
      </c>
      <c r="BI594" s="81">
        <v>21914</v>
      </c>
      <c r="BJ594" s="81">
        <v>23658</v>
      </c>
      <c r="BK594" s="81"/>
      <c r="BL594" s="81"/>
      <c r="BM594" s="81"/>
      <c r="BN594" s="81"/>
      <c r="BO594" s="81"/>
      <c r="BS594" s="64"/>
      <c r="BT594" s="81">
        <v>137</v>
      </c>
      <c r="BU594" s="81">
        <v>296</v>
      </c>
      <c r="BV594" s="64">
        <f t="shared" si="957"/>
        <v>423</v>
      </c>
      <c r="BW594" s="64">
        <f t="shared" si="958"/>
        <v>555</v>
      </c>
      <c r="BX594" s="64">
        <f t="shared" si="959"/>
        <v>866</v>
      </c>
      <c r="BY594" s="64">
        <f t="shared" si="960"/>
        <v>1449</v>
      </c>
      <c r="BZ594" s="64">
        <f t="shared" si="961"/>
        <v>2203</v>
      </c>
      <c r="CA594" s="64">
        <f t="shared" si="962"/>
        <v>2892</v>
      </c>
      <c r="CB594" s="64">
        <f t="shared" si="963"/>
        <v>5509</v>
      </c>
      <c r="CC594" s="64">
        <f t="shared" si="964"/>
        <v>11735</v>
      </c>
      <c r="CD594" s="64">
        <f t="shared" si="934"/>
        <v>11152</v>
      </c>
      <c r="CE594" s="64">
        <f t="shared" si="965"/>
        <v>14312</v>
      </c>
      <c r="CF594" s="64">
        <f t="shared" si="966"/>
        <v>19552</v>
      </c>
      <c r="CG594" s="64">
        <f t="shared" si="967"/>
        <v>24625</v>
      </c>
      <c r="CH594" s="64"/>
      <c r="CI594" s="64"/>
    </row>
    <row r="595" spans="2:87" x14ac:dyDescent="0.2">
      <c r="B595" t="s">
        <v>201</v>
      </c>
      <c r="H595" s="64"/>
      <c r="I595" s="64"/>
      <c r="J595" s="64"/>
      <c r="K595" s="64"/>
      <c r="L595" s="81">
        <v>302</v>
      </c>
      <c r="M595" s="81">
        <v>312</v>
      </c>
      <c r="N595" s="81">
        <v>372</v>
      </c>
      <c r="O595" s="81">
        <v>365</v>
      </c>
      <c r="P595" s="81">
        <v>338</v>
      </c>
      <c r="Q595" s="81">
        <v>316</v>
      </c>
      <c r="R595" s="81">
        <v>288</v>
      </c>
      <c r="S595" s="81">
        <v>239</v>
      </c>
      <c r="T595" s="81">
        <v>201</v>
      </c>
      <c r="U595" s="81">
        <v>173</v>
      </c>
      <c r="V595" s="81">
        <v>149</v>
      </c>
      <c r="W595" s="81">
        <v>114</v>
      </c>
      <c r="X595" s="81">
        <v>73</v>
      </c>
      <c r="Y595" s="81">
        <v>39</v>
      </c>
      <c r="Z595" s="81">
        <v>17</v>
      </c>
      <c r="AA595" s="81">
        <v>7</v>
      </c>
      <c r="AB595" s="81">
        <v>0</v>
      </c>
      <c r="AC595" s="81">
        <v>0</v>
      </c>
      <c r="AD595" s="81">
        <v>0</v>
      </c>
      <c r="AE595" s="81">
        <v>0</v>
      </c>
      <c r="AF595" s="81">
        <v>0</v>
      </c>
      <c r="AG595" s="81">
        <v>0</v>
      </c>
      <c r="AH595" s="81">
        <v>0</v>
      </c>
      <c r="AI595" s="81">
        <v>0</v>
      </c>
      <c r="AJ595" s="81">
        <v>0</v>
      </c>
      <c r="AK595" s="81">
        <v>0</v>
      </c>
      <c r="AL595" s="81">
        <v>0</v>
      </c>
      <c r="AM595" s="81">
        <v>0</v>
      </c>
      <c r="AN595" s="81">
        <v>0</v>
      </c>
      <c r="AO595" s="81">
        <v>0</v>
      </c>
      <c r="AP595" s="81">
        <v>0</v>
      </c>
      <c r="AQ595" s="81">
        <v>0</v>
      </c>
      <c r="AR595" s="81">
        <v>0</v>
      </c>
      <c r="AS595" s="81">
        <v>0</v>
      </c>
      <c r="AT595" s="81">
        <v>0</v>
      </c>
      <c r="AU595" s="81">
        <v>0</v>
      </c>
      <c r="AV595" s="81">
        <v>0</v>
      </c>
      <c r="AW595" s="81">
        <v>0</v>
      </c>
      <c r="AX595" s="81">
        <v>0</v>
      </c>
      <c r="AY595" s="81">
        <v>0</v>
      </c>
      <c r="AZ595" s="81">
        <v>0</v>
      </c>
      <c r="BA595" s="81">
        <v>0</v>
      </c>
      <c r="BB595" s="81">
        <v>0</v>
      </c>
      <c r="BC595" s="81">
        <v>0</v>
      </c>
      <c r="BD595" s="81">
        <v>0</v>
      </c>
      <c r="BE595" s="81">
        <v>0</v>
      </c>
      <c r="BF595" s="81">
        <v>0</v>
      </c>
      <c r="BG595" s="81">
        <v>0</v>
      </c>
      <c r="BH595" s="81">
        <v>0</v>
      </c>
      <c r="BI595" s="81">
        <v>0</v>
      </c>
      <c r="BJ595" s="81">
        <v>0</v>
      </c>
      <c r="BK595" s="81"/>
      <c r="BL595" s="81"/>
      <c r="BM595" s="81"/>
      <c r="BN595" s="81"/>
      <c r="BO595" s="81"/>
      <c r="BS595" s="64"/>
      <c r="BT595" s="81">
        <v>106</v>
      </c>
      <c r="BU595" s="81">
        <v>279</v>
      </c>
      <c r="BV595" s="64">
        <f t="shared" si="957"/>
        <v>365</v>
      </c>
      <c r="BW595" s="64">
        <f t="shared" si="958"/>
        <v>239</v>
      </c>
      <c r="BX595" s="64">
        <f t="shared" si="959"/>
        <v>114</v>
      </c>
      <c r="BY595" s="64">
        <f t="shared" si="960"/>
        <v>7</v>
      </c>
      <c r="BZ595" s="64">
        <f t="shared" si="961"/>
        <v>0</v>
      </c>
      <c r="CA595" s="64">
        <f t="shared" si="962"/>
        <v>0</v>
      </c>
      <c r="CB595" s="64">
        <f t="shared" si="963"/>
        <v>0</v>
      </c>
      <c r="CC595" s="64">
        <f t="shared" si="964"/>
        <v>0</v>
      </c>
      <c r="CD595" s="64">
        <f t="shared" si="934"/>
        <v>0</v>
      </c>
      <c r="CE595" s="64">
        <f t="shared" si="965"/>
        <v>0</v>
      </c>
      <c r="CF595" s="64">
        <f t="shared" si="966"/>
        <v>0</v>
      </c>
      <c r="CG595" s="64">
        <f t="shared" si="967"/>
        <v>0</v>
      </c>
      <c r="CH595" s="64"/>
      <c r="CI595" s="64"/>
    </row>
    <row r="596" spans="2:87" x14ac:dyDescent="0.2">
      <c r="B596" t="s">
        <v>202</v>
      </c>
      <c r="H596" s="64"/>
      <c r="I596" s="64"/>
      <c r="J596" s="64"/>
      <c r="K596" s="64"/>
      <c r="L596" s="81">
        <v>0</v>
      </c>
      <c r="M596" s="81">
        <v>0</v>
      </c>
      <c r="N596" s="81">
        <v>0</v>
      </c>
      <c r="O596" s="81">
        <v>0</v>
      </c>
      <c r="P596" s="81">
        <v>0</v>
      </c>
      <c r="Q596" s="81">
        <v>0</v>
      </c>
      <c r="R596" s="81">
        <v>0</v>
      </c>
      <c r="S596" s="81">
        <v>0</v>
      </c>
      <c r="T596" s="81">
        <v>0</v>
      </c>
      <c r="U596" s="81">
        <v>0</v>
      </c>
      <c r="V596" s="81">
        <v>0</v>
      </c>
      <c r="W596" s="81">
        <v>0</v>
      </c>
      <c r="X596" s="81">
        <v>0</v>
      </c>
      <c r="Y596" s="81">
        <v>0</v>
      </c>
      <c r="Z596" s="81">
        <v>0</v>
      </c>
      <c r="AA596" s="81">
        <v>0</v>
      </c>
      <c r="AB596" s="81">
        <v>0</v>
      </c>
      <c r="AC596" s="81">
        <v>0</v>
      </c>
      <c r="AD596" s="81">
        <v>0</v>
      </c>
      <c r="AE596" s="81">
        <v>0</v>
      </c>
      <c r="AF596" s="81">
        <v>0</v>
      </c>
      <c r="AG596" s="81">
        <v>0</v>
      </c>
      <c r="AH596" s="81">
        <v>0</v>
      </c>
      <c r="AI596" s="81">
        <v>0</v>
      </c>
      <c r="AJ596" s="81">
        <v>0</v>
      </c>
      <c r="AK596" s="81">
        <v>0</v>
      </c>
      <c r="AL596" s="81">
        <v>0</v>
      </c>
      <c r="AM596" s="81">
        <v>0</v>
      </c>
      <c r="AN596" s="81">
        <v>645</v>
      </c>
      <c r="AO596" s="81">
        <v>688</v>
      </c>
      <c r="AP596" s="81">
        <v>776</v>
      </c>
      <c r="AQ596" s="81">
        <v>800</v>
      </c>
      <c r="AR596" s="81">
        <v>835</v>
      </c>
      <c r="AS596" s="81">
        <v>899</v>
      </c>
      <c r="AT596" s="81">
        <v>975</v>
      </c>
      <c r="AU596" s="81">
        <v>1023</v>
      </c>
      <c r="AV596" s="81">
        <v>1040</v>
      </c>
      <c r="AW596" s="81">
        <v>1051</v>
      </c>
      <c r="AX596" s="81">
        <v>1086</v>
      </c>
      <c r="AY596" s="81">
        <v>1127</v>
      </c>
      <c r="AZ596" s="81">
        <v>1159</v>
      </c>
      <c r="BA596" s="81">
        <v>1275</v>
      </c>
      <c r="BB596" s="81">
        <v>1291</v>
      </c>
      <c r="BC596" s="81">
        <v>1367</v>
      </c>
      <c r="BD596" s="81">
        <v>1479</v>
      </c>
      <c r="BE596" s="81">
        <v>1396</v>
      </c>
      <c r="BF596" s="81">
        <v>1460</v>
      </c>
      <c r="BG596" s="81">
        <v>1623</v>
      </c>
      <c r="BH596" s="81">
        <v>1676</v>
      </c>
      <c r="BI596" s="81">
        <v>1917</v>
      </c>
      <c r="BJ596" s="81">
        <v>2016</v>
      </c>
      <c r="BK596" s="81"/>
      <c r="BL596" s="81"/>
      <c r="BM596" s="81"/>
      <c r="BN596" s="81"/>
      <c r="BO596" s="81"/>
      <c r="BS596" s="64"/>
      <c r="BT596" s="81">
        <v>0</v>
      </c>
      <c r="BU596" s="81">
        <v>0</v>
      </c>
      <c r="BV596" s="64">
        <f t="shared" si="957"/>
        <v>0</v>
      </c>
      <c r="BW596" s="64">
        <f t="shared" si="958"/>
        <v>0</v>
      </c>
      <c r="BX596" s="64">
        <f t="shared" si="959"/>
        <v>0</v>
      </c>
      <c r="BY596" s="64">
        <f t="shared" si="960"/>
        <v>0</v>
      </c>
      <c r="BZ596" s="64">
        <f t="shared" si="961"/>
        <v>0</v>
      </c>
      <c r="CA596" s="64">
        <f t="shared" si="962"/>
        <v>0</v>
      </c>
      <c r="CB596" s="64">
        <f t="shared" si="963"/>
        <v>0</v>
      </c>
      <c r="CC596" s="64">
        <f t="shared" si="964"/>
        <v>800</v>
      </c>
      <c r="CD596" s="64">
        <f t="shared" si="934"/>
        <v>1023</v>
      </c>
      <c r="CE596" s="64">
        <f t="shared" si="965"/>
        <v>1127</v>
      </c>
      <c r="CF596" s="64">
        <f t="shared" si="966"/>
        <v>1367</v>
      </c>
      <c r="CG596" s="64">
        <f t="shared" si="967"/>
        <v>1623</v>
      </c>
      <c r="CH596" s="64"/>
      <c r="CI596" s="64"/>
    </row>
    <row r="597" spans="2:87" x14ac:dyDescent="0.2">
      <c r="B597" t="s">
        <v>203</v>
      </c>
      <c r="H597" s="64"/>
      <c r="I597" s="64"/>
      <c r="J597" s="64"/>
      <c r="K597" s="64"/>
      <c r="L597" s="81">
        <v>93</v>
      </c>
      <c r="M597" s="81">
        <v>85</v>
      </c>
      <c r="N597" s="81">
        <v>85</v>
      </c>
      <c r="O597" s="81">
        <v>30</v>
      </c>
      <c r="P597" s="81">
        <v>30</v>
      </c>
      <c r="Q597" s="81">
        <v>32</v>
      </c>
      <c r="R597" s="81">
        <v>36</v>
      </c>
      <c r="S597" s="81">
        <v>38</v>
      </c>
      <c r="T597" s="81">
        <v>38</v>
      </c>
      <c r="U597" s="81">
        <v>53</v>
      </c>
      <c r="V597" s="81">
        <v>48</v>
      </c>
      <c r="W597" s="81">
        <v>66</v>
      </c>
      <c r="X597" s="81">
        <v>55</v>
      </c>
      <c r="Y597" s="81">
        <v>49</v>
      </c>
      <c r="Z597" s="81">
        <v>47</v>
      </c>
      <c r="AA597" s="81">
        <v>56</v>
      </c>
      <c r="AB597" s="81">
        <v>55</v>
      </c>
      <c r="AC597" s="81">
        <v>79</v>
      </c>
      <c r="AD597" s="81">
        <v>78</v>
      </c>
      <c r="AE597" s="81">
        <v>90</v>
      </c>
      <c r="AF597" s="81">
        <v>80</v>
      </c>
      <c r="AG597" s="81">
        <v>88</v>
      </c>
      <c r="AH597" s="81">
        <v>105</v>
      </c>
      <c r="AI597" s="81">
        <v>98</v>
      </c>
      <c r="AJ597" s="81">
        <v>94</v>
      </c>
      <c r="AK597" s="81">
        <v>91</v>
      </c>
      <c r="AL597" s="81">
        <v>115</v>
      </c>
      <c r="AM597" s="81">
        <v>147</v>
      </c>
      <c r="AN597" s="81">
        <v>142</v>
      </c>
      <c r="AO597" s="81">
        <v>198</v>
      </c>
      <c r="AP597" s="81">
        <v>225</v>
      </c>
      <c r="AQ597" s="81">
        <v>269</v>
      </c>
      <c r="AR597" s="81">
        <v>247</v>
      </c>
      <c r="AS597" s="81">
        <v>264</v>
      </c>
      <c r="AT597" s="81">
        <v>379</v>
      </c>
      <c r="AU597" s="81">
        <v>382</v>
      </c>
      <c r="AV597" s="81">
        <v>382</v>
      </c>
      <c r="AW597" s="81">
        <v>391</v>
      </c>
      <c r="AX597" s="81">
        <v>464</v>
      </c>
      <c r="AY597" s="81">
        <v>561</v>
      </c>
      <c r="AZ597" s="81">
        <v>520</v>
      </c>
      <c r="BA597" s="81">
        <v>532</v>
      </c>
      <c r="BB597" s="81">
        <v>514</v>
      </c>
      <c r="BC597" s="81">
        <v>0</v>
      </c>
      <c r="BD597" s="81">
        <v>0</v>
      </c>
      <c r="BE597" s="81">
        <v>0</v>
      </c>
      <c r="BF597" s="81">
        <v>0</v>
      </c>
      <c r="BG597" s="81">
        <v>0</v>
      </c>
      <c r="BH597" s="81">
        <v>0</v>
      </c>
      <c r="BI597" s="81">
        <v>0</v>
      </c>
      <c r="BJ597" s="81">
        <v>0</v>
      </c>
      <c r="BK597" s="81"/>
      <c r="BL597" s="81"/>
      <c r="BM597" s="81"/>
      <c r="BN597" s="81"/>
      <c r="BO597" s="81"/>
      <c r="BS597" s="64"/>
      <c r="BT597" s="81">
        <v>42</v>
      </c>
      <c r="BU597" s="81">
        <v>90</v>
      </c>
      <c r="BV597" s="64">
        <f t="shared" si="957"/>
        <v>30</v>
      </c>
      <c r="BW597" s="64">
        <f t="shared" si="958"/>
        <v>38</v>
      </c>
      <c r="BX597" s="64">
        <f t="shared" si="959"/>
        <v>66</v>
      </c>
      <c r="BY597" s="64">
        <f t="shared" si="960"/>
        <v>56</v>
      </c>
      <c r="BZ597" s="64">
        <f t="shared" si="961"/>
        <v>90</v>
      </c>
      <c r="CA597" s="64">
        <f t="shared" si="962"/>
        <v>98</v>
      </c>
      <c r="CB597" s="64">
        <f t="shared" si="963"/>
        <v>147</v>
      </c>
      <c r="CC597" s="64">
        <f t="shared" si="964"/>
        <v>269</v>
      </c>
      <c r="CD597" s="64">
        <f t="shared" si="934"/>
        <v>382</v>
      </c>
      <c r="CE597" s="64">
        <f t="shared" si="965"/>
        <v>561</v>
      </c>
      <c r="CF597" s="64">
        <f t="shared" si="966"/>
        <v>0</v>
      </c>
      <c r="CG597" s="64">
        <f t="shared" si="967"/>
        <v>0</v>
      </c>
      <c r="CH597" s="64"/>
      <c r="CI597" s="64"/>
    </row>
    <row r="598" spans="2:87" ht="13.5" x14ac:dyDescent="0.35">
      <c r="B598" t="s">
        <v>204</v>
      </c>
      <c r="H598" s="64"/>
      <c r="I598" s="64"/>
      <c r="J598" s="64"/>
      <c r="K598" s="64"/>
      <c r="L598" s="82">
        <v>178</v>
      </c>
      <c r="M598" s="82">
        <v>153</v>
      </c>
      <c r="N598" s="82">
        <v>155</v>
      </c>
      <c r="O598" s="82">
        <v>169</v>
      </c>
      <c r="P598" s="82">
        <v>190</v>
      </c>
      <c r="Q598" s="82">
        <v>172</v>
      </c>
      <c r="R598" s="82">
        <v>171</v>
      </c>
      <c r="S598" s="82">
        <v>181</v>
      </c>
      <c r="T598" s="82">
        <v>188</v>
      </c>
      <c r="U598" s="82">
        <v>176</v>
      </c>
      <c r="V598" s="82">
        <v>208</v>
      </c>
      <c r="W598" s="82">
        <v>202</v>
      </c>
      <c r="X598" s="82">
        <v>189</v>
      </c>
      <c r="Y598" s="82">
        <v>182</v>
      </c>
      <c r="Z598" s="82">
        <v>241</v>
      </c>
      <c r="AA598" s="82">
        <v>217</v>
      </c>
      <c r="AB598" s="82">
        <v>216</v>
      </c>
      <c r="AC598" s="82">
        <v>232</v>
      </c>
      <c r="AD598" s="82">
        <v>239</v>
      </c>
      <c r="AE598" s="82">
        <v>280</v>
      </c>
      <c r="AF598" s="82">
        <v>278</v>
      </c>
      <c r="AG598" s="82">
        <v>278</v>
      </c>
      <c r="AH598" s="82">
        <v>314</v>
      </c>
      <c r="AI598" s="82">
        <v>390</v>
      </c>
      <c r="AJ598" s="82">
        <v>396</v>
      </c>
      <c r="AK598" s="82">
        <v>440</v>
      </c>
      <c r="AL598" s="82">
        <v>502</v>
      </c>
      <c r="AM598" s="82">
        <v>541</v>
      </c>
      <c r="AN598" s="82">
        <v>537</v>
      </c>
      <c r="AO598" s="82">
        <v>560</v>
      </c>
      <c r="AP598" s="82">
        <v>590</v>
      </c>
      <c r="AQ598" s="82">
        <v>886</v>
      </c>
      <c r="AR598" s="82">
        <v>712</v>
      </c>
      <c r="AS598" s="82">
        <v>729</v>
      </c>
      <c r="AT598" s="82">
        <v>800</v>
      </c>
      <c r="AU598" s="82">
        <v>1093</v>
      </c>
      <c r="AV598" s="82">
        <v>1006</v>
      </c>
      <c r="AW598" s="82">
        <v>949</v>
      </c>
      <c r="AX598" s="82">
        <v>909</v>
      </c>
      <c r="AY598" s="82">
        <v>1052</v>
      </c>
      <c r="AZ598" s="82">
        <v>935</v>
      </c>
      <c r="BA598" s="82">
        <v>982</v>
      </c>
      <c r="BB598" s="82">
        <v>975</v>
      </c>
      <c r="BC598" s="82">
        <v>1117</v>
      </c>
      <c r="BD598" s="82">
        <v>885</v>
      </c>
      <c r="BE598" s="82">
        <v>772</v>
      </c>
      <c r="BF598" s="82">
        <v>770</v>
      </c>
      <c r="BG598" s="82">
        <v>863</v>
      </c>
      <c r="BH598" s="82">
        <v>0</v>
      </c>
      <c r="BI598" s="82">
        <v>0</v>
      </c>
      <c r="BJ598" s="82">
        <v>0</v>
      </c>
      <c r="BK598" s="82"/>
      <c r="BL598" s="82"/>
      <c r="BM598" s="82"/>
      <c r="BN598" s="82"/>
      <c r="BO598" s="82"/>
      <c r="BS598" s="64"/>
      <c r="BT598" s="82">
        <v>75</v>
      </c>
      <c r="BU598" s="82">
        <v>171</v>
      </c>
      <c r="BV598" s="65">
        <f t="shared" si="957"/>
        <v>169</v>
      </c>
      <c r="BW598" s="65">
        <f t="shared" si="958"/>
        <v>181</v>
      </c>
      <c r="BX598" s="65">
        <f t="shared" si="959"/>
        <v>202</v>
      </c>
      <c r="BY598" s="65">
        <f t="shared" si="960"/>
        <v>217</v>
      </c>
      <c r="BZ598" s="65">
        <f t="shared" si="961"/>
        <v>280</v>
      </c>
      <c r="CA598" s="65">
        <f t="shared" si="962"/>
        <v>390</v>
      </c>
      <c r="CB598" s="65">
        <f t="shared" si="963"/>
        <v>541</v>
      </c>
      <c r="CC598" s="65">
        <f t="shared" si="964"/>
        <v>886</v>
      </c>
      <c r="CD598" s="65">
        <f t="shared" si="934"/>
        <v>1093</v>
      </c>
      <c r="CE598" s="65">
        <f t="shared" si="965"/>
        <v>1052</v>
      </c>
      <c r="CF598" s="65">
        <f t="shared" si="966"/>
        <v>1117</v>
      </c>
      <c r="CG598" s="65">
        <f t="shared" si="967"/>
        <v>863</v>
      </c>
      <c r="CH598" s="65"/>
      <c r="CI598" s="65"/>
    </row>
    <row r="599" spans="2:87" s="44" customFormat="1" x14ac:dyDescent="0.2">
      <c r="B599" s="110" t="s">
        <v>205</v>
      </c>
      <c r="H599" s="111"/>
      <c r="I599" s="111"/>
      <c r="J599" s="111"/>
      <c r="K599" s="111"/>
      <c r="L599" s="111">
        <f>SUM(L593:L598)</f>
        <v>1039</v>
      </c>
      <c r="M599" s="111">
        <f t="shared" ref="M599:AT599" si="968">SUM(M593:M598)</f>
        <v>1034</v>
      </c>
      <c r="N599" s="111">
        <f t="shared" si="968"/>
        <v>1080</v>
      </c>
      <c r="O599" s="111">
        <f t="shared" si="968"/>
        <v>1052</v>
      </c>
      <c r="P599" s="111">
        <f t="shared" si="968"/>
        <v>1063</v>
      </c>
      <c r="Q599" s="111">
        <f t="shared" si="968"/>
        <v>1080</v>
      </c>
      <c r="R599" s="111">
        <f t="shared" si="968"/>
        <v>984</v>
      </c>
      <c r="S599" s="111">
        <f t="shared" si="968"/>
        <v>1100</v>
      </c>
      <c r="T599" s="111">
        <f t="shared" si="968"/>
        <v>1037</v>
      </c>
      <c r="U599" s="111">
        <f t="shared" si="968"/>
        <v>1214</v>
      </c>
      <c r="V599" s="111">
        <f t="shared" si="968"/>
        <v>1234</v>
      </c>
      <c r="W599" s="111">
        <f t="shared" si="968"/>
        <v>1424</v>
      </c>
      <c r="X599" s="111">
        <f t="shared" si="968"/>
        <v>1746</v>
      </c>
      <c r="Y599" s="111">
        <f t="shared" si="968"/>
        <v>1881</v>
      </c>
      <c r="Z599" s="111">
        <f t="shared" si="968"/>
        <v>1792</v>
      </c>
      <c r="AA599" s="111">
        <f t="shared" si="968"/>
        <v>1925</v>
      </c>
      <c r="AB599" s="111">
        <f t="shared" si="968"/>
        <v>1809</v>
      </c>
      <c r="AC599" s="111">
        <f t="shared" si="968"/>
        <v>2211</v>
      </c>
      <c r="AD599" s="111">
        <f t="shared" si="968"/>
        <v>2595</v>
      </c>
      <c r="AE599" s="111">
        <f t="shared" si="968"/>
        <v>2875</v>
      </c>
      <c r="AF599" s="111">
        <f t="shared" si="968"/>
        <v>2928</v>
      </c>
      <c r="AG599" s="111">
        <f t="shared" si="968"/>
        <v>3315</v>
      </c>
      <c r="AH599" s="111">
        <f t="shared" si="968"/>
        <v>3305</v>
      </c>
      <c r="AI599" s="111">
        <f t="shared" si="968"/>
        <v>3760</v>
      </c>
      <c r="AJ599" s="111">
        <f t="shared" si="968"/>
        <v>5086</v>
      </c>
      <c r="AK599" s="111">
        <f t="shared" si="968"/>
        <v>4670</v>
      </c>
      <c r="AL599" s="111">
        <f t="shared" si="968"/>
        <v>5462</v>
      </c>
      <c r="AM599" s="111">
        <f t="shared" si="968"/>
        <v>7017</v>
      </c>
      <c r="AN599" s="111">
        <f t="shared" si="968"/>
        <v>9908</v>
      </c>
      <c r="AO599" s="111">
        <f t="shared" si="968"/>
        <v>12979</v>
      </c>
      <c r="AP599" s="111">
        <f t="shared" si="968"/>
        <v>13328</v>
      </c>
      <c r="AQ599" s="111">
        <f t="shared" si="968"/>
        <v>15053</v>
      </c>
      <c r="AR599" s="111">
        <f t="shared" si="968"/>
        <v>15069</v>
      </c>
      <c r="AS599" s="111">
        <f t="shared" si="968"/>
        <v>11308</v>
      </c>
      <c r="AT599" s="111">
        <f t="shared" si="968"/>
        <v>11944</v>
      </c>
      <c r="AU599" s="111">
        <f t="shared" ref="AU599:AZ599" si="969">SUM(AU593:AU598)</f>
        <v>14981</v>
      </c>
      <c r="AV599" s="111">
        <f t="shared" si="969"/>
        <v>12717</v>
      </c>
      <c r="AW599" s="111">
        <f t="shared" si="969"/>
        <v>14874</v>
      </c>
      <c r="AX599" s="111">
        <f t="shared" si="969"/>
        <v>17812</v>
      </c>
      <c r="AY599" s="111">
        <f t="shared" si="969"/>
        <v>21135</v>
      </c>
      <c r="AZ599" s="111">
        <f t="shared" si="969"/>
        <v>21086</v>
      </c>
      <c r="BA599" s="111">
        <f t="shared" ref="BA599:BI599" si="970">SUM(BA593:BA598)</f>
        <v>22217</v>
      </c>
      <c r="BB599" s="111">
        <f t="shared" si="970"/>
        <v>22687</v>
      </c>
      <c r="BC599" s="111">
        <f t="shared" si="970"/>
        <v>27026</v>
      </c>
      <c r="BD599" s="111">
        <f t="shared" si="970"/>
        <v>25381</v>
      </c>
      <c r="BE599" s="111">
        <f t="shared" si="970"/>
        <v>29921</v>
      </c>
      <c r="BF599" s="111">
        <f t="shared" si="970"/>
        <v>30531</v>
      </c>
      <c r="BG599" s="111">
        <f t="shared" si="970"/>
        <v>31960</v>
      </c>
      <c r="BH599" s="111">
        <f t="shared" si="970"/>
        <v>28101</v>
      </c>
      <c r="BI599" s="111">
        <f t="shared" si="970"/>
        <v>27004</v>
      </c>
      <c r="BJ599" s="111">
        <f t="shared" ref="BJ599" si="971">SUM(BJ593:BJ598)</f>
        <v>33330</v>
      </c>
      <c r="BK599" s="111"/>
      <c r="BL599" s="111"/>
      <c r="BM599" s="111"/>
      <c r="BN599" s="111"/>
      <c r="BO599" s="111"/>
      <c r="BS599" s="111"/>
      <c r="BT599" s="111">
        <f t="shared" ref="BT599:CC599" si="972">SUM(BT593:BT598)</f>
        <v>389</v>
      </c>
      <c r="BU599" s="111">
        <f t="shared" si="972"/>
        <v>899</v>
      </c>
      <c r="BV599" s="111">
        <f t="shared" si="972"/>
        <v>1052</v>
      </c>
      <c r="BW599" s="111">
        <f t="shared" si="972"/>
        <v>1100</v>
      </c>
      <c r="BX599" s="111">
        <f t="shared" si="972"/>
        <v>1424</v>
      </c>
      <c r="BY599" s="111">
        <f t="shared" si="972"/>
        <v>1925</v>
      </c>
      <c r="BZ599" s="111">
        <f t="shared" si="972"/>
        <v>2875</v>
      </c>
      <c r="CA599" s="111">
        <f t="shared" si="972"/>
        <v>3760</v>
      </c>
      <c r="CB599" s="111">
        <f t="shared" si="972"/>
        <v>7017</v>
      </c>
      <c r="CC599" s="111">
        <f t="shared" si="972"/>
        <v>15053</v>
      </c>
      <c r="CD599" s="111">
        <f t="shared" si="934"/>
        <v>14981</v>
      </c>
      <c r="CE599" s="111">
        <f t="shared" si="965"/>
        <v>21135</v>
      </c>
      <c r="CF599" s="111">
        <f t="shared" si="966"/>
        <v>27026</v>
      </c>
      <c r="CG599" s="111">
        <f t="shared" si="967"/>
        <v>31960</v>
      </c>
      <c r="CH599" s="111"/>
      <c r="CI599" s="111"/>
    </row>
    <row r="600" spans="2:87" x14ac:dyDescent="0.2">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c r="AE600" s="64"/>
      <c r="AF600" s="64"/>
      <c r="AG600" s="64"/>
      <c r="AH600" s="64"/>
      <c r="AI600" s="64"/>
      <c r="AJ600" s="64"/>
      <c r="AK600" s="64"/>
      <c r="AL600" s="64"/>
      <c r="AM600" s="64"/>
      <c r="AN600" s="64"/>
      <c r="AO600" s="64"/>
      <c r="AP600" s="64"/>
      <c r="AQ600" s="64"/>
      <c r="AR600" s="64"/>
      <c r="AS600" s="64"/>
      <c r="AT600" s="64"/>
      <c r="AU600" s="64"/>
      <c r="AV600" s="64"/>
      <c r="AW600" s="64"/>
      <c r="AX600" s="64"/>
      <c r="AY600" s="64"/>
      <c r="AZ600" s="64"/>
      <c r="BA600" s="64"/>
      <c r="BB600" s="64"/>
      <c r="BC600" s="64"/>
      <c r="BD600" s="64"/>
      <c r="BE600" s="64"/>
      <c r="BF600" s="64"/>
      <c r="BG600" s="64"/>
      <c r="BH600" s="64"/>
      <c r="BI600" s="64"/>
      <c r="BJ600" s="64"/>
      <c r="BK600" s="64"/>
      <c r="BL600" s="64"/>
      <c r="BM600" s="64"/>
      <c r="BN600" s="64"/>
      <c r="BO600" s="64"/>
      <c r="BS600" s="64"/>
      <c r="BT600" s="64"/>
      <c r="BU600" s="64"/>
      <c r="BV600" s="64"/>
      <c r="BW600" s="64"/>
      <c r="BX600" s="64"/>
      <c r="BY600" s="64"/>
      <c r="BZ600" s="64"/>
      <c r="CA600" s="64"/>
      <c r="CB600" s="64"/>
      <c r="CC600" s="64"/>
      <c r="CD600" s="64"/>
      <c r="CE600" s="64"/>
      <c r="CF600" s="64"/>
      <c r="CG600" s="64"/>
      <c r="CH600" s="64"/>
      <c r="CI600" s="64"/>
    </row>
    <row r="601" spans="2:87" x14ac:dyDescent="0.2">
      <c r="B601" t="s">
        <v>206</v>
      </c>
      <c r="H601" s="64"/>
      <c r="I601" s="64"/>
      <c r="J601" s="64"/>
      <c r="K601" s="64"/>
      <c r="L601" s="81">
        <v>0</v>
      </c>
      <c r="M601" s="81">
        <v>0</v>
      </c>
      <c r="N601" s="81">
        <v>0</v>
      </c>
      <c r="O601" s="81">
        <v>1500</v>
      </c>
      <c r="P601" s="81">
        <v>1500</v>
      </c>
      <c r="Q601" s="81">
        <v>1500</v>
      </c>
      <c r="R601" s="81">
        <v>0</v>
      </c>
      <c r="S601" s="81">
        <v>0</v>
      </c>
      <c r="T601" s="81">
        <v>0</v>
      </c>
      <c r="U601" s="81">
        <v>0</v>
      </c>
      <c r="V601" s="81">
        <v>0</v>
      </c>
      <c r="W601" s="81">
        <v>0</v>
      </c>
      <c r="X601" s="81">
        <v>0</v>
      </c>
      <c r="Y601" s="81">
        <v>0</v>
      </c>
      <c r="Z601" s="81">
        <v>0</v>
      </c>
      <c r="AA601" s="81">
        <v>0</v>
      </c>
      <c r="AB601" s="81">
        <v>0</v>
      </c>
      <c r="AC601" s="81">
        <v>0</v>
      </c>
      <c r="AD601" s="81">
        <v>0</v>
      </c>
      <c r="AE601" s="81">
        <v>0</v>
      </c>
      <c r="AF601" s="81">
        <v>0</v>
      </c>
      <c r="AG601" s="81">
        <v>0</v>
      </c>
      <c r="AH601" s="81">
        <v>0</v>
      </c>
      <c r="AI601" s="81">
        <v>0</v>
      </c>
      <c r="AJ601" s="81">
        <v>0</v>
      </c>
      <c r="AK601" s="81">
        <v>0</v>
      </c>
      <c r="AL601" s="81">
        <v>0</v>
      </c>
      <c r="AM601" s="81">
        <v>0</v>
      </c>
      <c r="AN601" s="81">
        <v>0</v>
      </c>
      <c r="AO601" s="81">
        <v>0</v>
      </c>
      <c r="AP601" s="81">
        <v>0</v>
      </c>
      <c r="AQ601" s="81">
        <v>0</v>
      </c>
      <c r="AR601" s="81">
        <v>0</v>
      </c>
      <c r="AS601" s="81">
        <v>0</v>
      </c>
      <c r="AT601" s="81">
        <v>0</v>
      </c>
      <c r="AU601" s="81">
        <v>0</v>
      </c>
      <c r="AV601" s="81">
        <v>0</v>
      </c>
      <c r="AW601" s="81">
        <v>0</v>
      </c>
      <c r="AX601" s="81">
        <v>0</v>
      </c>
      <c r="AY601" s="81">
        <v>0</v>
      </c>
      <c r="AZ601" s="81">
        <v>0</v>
      </c>
      <c r="BA601" s="81">
        <v>0</v>
      </c>
      <c r="BB601" s="81">
        <v>9922</v>
      </c>
      <c r="BC601" s="81">
        <v>9923</v>
      </c>
      <c r="BD601" s="81">
        <v>9925</v>
      </c>
      <c r="BE601" s="81">
        <v>18382</v>
      </c>
      <c r="BF601" s="81">
        <v>18383</v>
      </c>
      <c r="BG601" s="81">
        <v>18385</v>
      </c>
      <c r="BH601" s="81">
        <v>18387</v>
      </c>
      <c r="BI601" s="81">
        <v>18389</v>
      </c>
      <c r="BJ601" s="81">
        <v>28823</v>
      </c>
      <c r="BK601" s="81"/>
      <c r="BL601" s="81"/>
      <c r="BM601" s="81"/>
      <c r="BN601" s="81"/>
      <c r="BO601" s="81"/>
      <c r="BS601" s="64"/>
      <c r="BT601" s="81">
        <v>250</v>
      </c>
      <c r="BU601" s="81">
        <v>0</v>
      </c>
      <c r="BV601" s="64">
        <f>+O601</f>
        <v>1500</v>
      </c>
      <c r="BW601" s="64">
        <f>+S601</f>
        <v>0</v>
      </c>
      <c r="BX601" s="64">
        <f>+W601</f>
        <v>0</v>
      </c>
      <c r="BY601" s="64">
        <f>+AA601</f>
        <v>0</v>
      </c>
      <c r="BZ601" s="64">
        <f>+AE601</f>
        <v>0</v>
      </c>
      <c r="CA601" s="64">
        <f>+AI601</f>
        <v>0</v>
      </c>
      <c r="CB601" s="64">
        <f>+AM601</f>
        <v>0</v>
      </c>
      <c r="CC601" s="64">
        <f>+AQ601</f>
        <v>0</v>
      </c>
      <c r="CD601" s="64">
        <f t="shared" si="934"/>
        <v>0</v>
      </c>
      <c r="CE601" s="64">
        <f t="shared" ref="CE601:CE606" si="973">+AY601</f>
        <v>0</v>
      </c>
      <c r="CF601" s="64">
        <f t="shared" ref="CF601:CF606" si="974">+BC601</f>
        <v>9923</v>
      </c>
      <c r="CG601" s="64">
        <f t="shared" ref="CG601:CG606" si="975">+BG601</f>
        <v>18385</v>
      </c>
      <c r="CH601" s="64"/>
      <c r="CI601" s="64"/>
    </row>
    <row r="602" spans="2:87" x14ac:dyDescent="0.2">
      <c r="B602" t="s">
        <v>207</v>
      </c>
      <c r="H602" s="64"/>
      <c r="I602" s="64"/>
      <c r="J602" s="64"/>
      <c r="K602" s="64"/>
      <c r="L602" s="81">
        <v>404</v>
      </c>
      <c r="M602" s="81">
        <v>394</v>
      </c>
      <c r="N602" s="81">
        <v>530</v>
      </c>
      <c r="O602" s="81">
        <v>491</v>
      </c>
      <c r="P602" s="81">
        <v>420</v>
      </c>
      <c r="Q602" s="81">
        <v>351</v>
      </c>
      <c r="R602" s="81">
        <v>287</v>
      </c>
      <c r="S602" s="81">
        <v>237</v>
      </c>
      <c r="T602" s="81">
        <v>191</v>
      </c>
      <c r="U602" s="81">
        <v>153</v>
      </c>
      <c r="V602" s="81">
        <v>129</v>
      </c>
      <c r="W602" s="81">
        <v>119</v>
      </c>
      <c r="X602" s="81">
        <v>113</v>
      </c>
      <c r="Y602" s="81">
        <v>110</v>
      </c>
      <c r="Z602" s="81">
        <v>109</v>
      </c>
      <c r="AA602" s="81">
        <v>107</v>
      </c>
      <c r="AB602" s="81">
        <v>0</v>
      </c>
      <c r="AC602" s="81">
        <v>0</v>
      </c>
      <c r="AD602" s="81">
        <v>0</v>
      </c>
      <c r="AE602" s="81">
        <v>0</v>
      </c>
      <c r="AF602" s="81">
        <v>0</v>
      </c>
      <c r="AG602" s="81">
        <v>0</v>
      </c>
      <c r="AH602" s="81">
        <v>0</v>
      </c>
      <c r="AI602" s="81">
        <v>0</v>
      </c>
      <c r="AJ602" s="81">
        <v>0</v>
      </c>
      <c r="AK602" s="81">
        <v>0</v>
      </c>
      <c r="AL602" s="81">
        <v>0</v>
      </c>
      <c r="AM602" s="81">
        <v>0</v>
      </c>
      <c r="AN602" s="81">
        <v>0</v>
      </c>
      <c r="AO602" s="81">
        <v>0</v>
      </c>
      <c r="AP602" s="81">
        <v>0</v>
      </c>
      <c r="AQ602" s="81">
        <v>0</v>
      </c>
      <c r="AR602" s="81">
        <v>0</v>
      </c>
      <c r="AS602" s="81">
        <v>0</v>
      </c>
      <c r="AT602" s="81">
        <v>0</v>
      </c>
      <c r="AU602" s="81">
        <v>0</v>
      </c>
      <c r="AV602" s="81">
        <v>0</v>
      </c>
      <c r="AW602" s="81">
        <v>0</v>
      </c>
      <c r="AX602" s="81">
        <v>0</v>
      </c>
      <c r="AY602" s="81">
        <v>0</v>
      </c>
      <c r="AZ602" s="81">
        <v>0</v>
      </c>
      <c r="BA602" s="81">
        <v>0</v>
      </c>
      <c r="BB602" s="81">
        <v>0</v>
      </c>
      <c r="BC602" s="81">
        <v>0</v>
      </c>
      <c r="BD602" s="81">
        <v>0</v>
      </c>
      <c r="BE602" s="81">
        <v>0</v>
      </c>
      <c r="BF602" s="81">
        <v>0</v>
      </c>
      <c r="BG602" s="81">
        <v>0</v>
      </c>
      <c r="BH602" s="81">
        <v>0</v>
      </c>
      <c r="BI602" s="81">
        <v>0</v>
      </c>
      <c r="BJ602" s="81">
        <v>0</v>
      </c>
      <c r="BK602" s="81"/>
      <c r="BL602" s="81"/>
      <c r="BM602" s="81"/>
      <c r="BN602" s="81"/>
      <c r="BO602" s="81"/>
      <c r="BS602" s="64"/>
      <c r="BT602" s="81">
        <v>117</v>
      </c>
      <c r="BU602" s="81">
        <v>398</v>
      </c>
      <c r="BV602" s="64">
        <f>+O602</f>
        <v>491</v>
      </c>
      <c r="BW602" s="64">
        <f>+S602</f>
        <v>237</v>
      </c>
      <c r="BX602" s="64">
        <f>+W602</f>
        <v>119</v>
      </c>
      <c r="BY602" s="64">
        <f>+AA602</f>
        <v>107</v>
      </c>
      <c r="BZ602" s="64">
        <f>+AE602</f>
        <v>0</v>
      </c>
      <c r="CA602" s="64">
        <f>+AI602</f>
        <v>0</v>
      </c>
      <c r="CB602" s="64">
        <f>+AM602</f>
        <v>0</v>
      </c>
      <c r="CC602" s="64">
        <f>+AQ602</f>
        <v>0</v>
      </c>
      <c r="CD602" s="64">
        <f t="shared" si="934"/>
        <v>0</v>
      </c>
      <c r="CE602" s="64">
        <f t="shared" si="973"/>
        <v>0</v>
      </c>
      <c r="CF602" s="64">
        <f t="shared" si="974"/>
        <v>0</v>
      </c>
      <c r="CG602" s="64">
        <f t="shared" si="975"/>
        <v>0</v>
      </c>
      <c r="CH602" s="64"/>
      <c r="CI602" s="64"/>
    </row>
    <row r="603" spans="2:87" x14ac:dyDescent="0.2">
      <c r="B603" t="s">
        <v>208</v>
      </c>
      <c r="H603" s="64"/>
      <c r="I603" s="64"/>
      <c r="J603" s="64"/>
      <c r="K603" s="64"/>
      <c r="L603" s="81">
        <v>0</v>
      </c>
      <c r="M603" s="81">
        <v>0</v>
      </c>
      <c r="N603" s="81">
        <v>0</v>
      </c>
      <c r="O603" s="81">
        <v>0</v>
      </c>
      <c r="P603" s="81">
        <v>0</v>
      </c>
      <c r="Q603" s="81">
        <v>0</v>
      </c>
      <c r="R603" s="81">
        <v>0</v>
      </c>
      <c r="S603" s="81">
        <v>0</v>
      </c>
      <c r="T603" s="81">
        <v>0</v>
      </c>
      <c r="U603" s="81">
        <v>0</v>
      </c>
      <c r="V603" s="81">
        <v>0</v>
      </c>
      <c r="W603" s="81">
        <v>0</v>
      </c>
      <c r="X603" s="81">
        <v>0</v>
      </c>
      <c r="Y603" s="81">
        <v>0</v>
      </c>
      <c r="Z603" s="81">
        <v>0</v>
      </c>
      <c r="AA603" s="81">
        <v>0</v>
      </c>
      <c r="AB603" s="81">
        <v>0</v>
      </c>
      <c r="AC603" s="81">
        <v>0</v>
      </c>
      <c r="AD603" s="81">
        <v>0</v>
      </c>
      <c r="AE603" s="81">
        <v>0</v>
      </c>
      <c r="AF603" s="81">
        <v>0</v>
      </c>
      <c r="AG603" s="81">
        <v>0</v>
      </c>
      <c r="AH603" s="81">
        <v>0</v>
      </c>
      <c r="AI603" s="81">
        <v>0</v>
      </c>
      <c r="AJ603" s="81">
        <v>0</v>
      </c>
      <c r="AK603" s="81">
        <v>0</v>
      </c>
      <c r="AL603" s="81">
        <v>0</v>
      </c>
      <c r="AM603" s="81">
        <v>0</v>
      </c>
      <c r="AN603" s="81">
        <v>0</v>
      </c>
      <c r="AO603" s="81">
        <v>0</v>
      </c>
      <c r="AP603" s="81">
        <v>0</v>
      </c>
      <c r="AQ603" s="81">
        <v>0</v>
      </c>
      <c r="AR603" s="81">
        <v>0</v>
      </c>
      <c r="AS603" s="81">
        <v>0</v>
      </c>
      <c r="AT603" s="81">
        <v>0</v>
      </c>
      <c r="AU603" s="81">
        <v>0</v>
      </c>
      <c r="AV603" s="81">
        <v>0</v>
      </c>
      <c r="AW603" s="81">
        <v>0</v>
      </c>
      <c r="AX603" s="81">
        <v>0</v>
      </c>
      <c r="AY603" s="81">
        <v>0</v>
      </c>
      <c r="AZ603" s="81">
        <v>0</v>
      </c>
      <c r="BA603" s="81">
        <v>0</v>
      </c>
      <c r="BB603" s="81">
        <v>0</v>
      </c>
      <c r="BC603" s="81">
        <v>0</v>
      </c>
      <c r="BD603" s="81">
        <v>0</v>
      </c>
      <c r="BE603" s="81">
        <v>0</v>
      </c>
      <c r="BF603" s="81">
        <v>0</v>
      </c>
      <c r="BG603" s="81">
        <v>0</v>
      </c>
      <c r="BH603" s="81">
        <v>0</v>
      </c>
      <c r="BI603" s="81">
        <v>0</v>
      </c>
      <c r="BJ603" s="81">
        <v>0</v>
      </c>
      <c r="BK603" s="81"/>
      <c r="BL603" s="81"/>
      <c r="BM603" s="81"/>
      <c r="BN603" s="81"/>
      <c r="BO603" s="81"/>
      <c r="BS603" s="64"/>
      <c r="BT603" s="81">
        <v>615</v>
      </c>
      <c r="BU603" s="81">
        <v>615</v>
      </c>
      <c r="BV603" s="64">
        <f>+O603</f>
        <v>0</v>
      </c>
      <c r="BW603" s="64">
        <f>+S603</f>
        <v>0</v>
      </c>
      <c r="BX603" s="64">
        <f>+W603</f>
        <v>0</v>
      </c>
      <c r="BY603" s="64">
        <f>+AA603</f>
        <v>0</v>
      </c>
      <c r="BZ603" s="64">
        <f>+AE603</f>
        <v>0</v>
      </c>
      <c r="CA603" s="64">
        <f>+AI603</f>
        <v>0</v>
      </c>
      <c r="CB603" s="64">
        <f>+AM603</f>
        <v>0</v>
      </c>
      <c r="CC603" s="64">
        <f>+AQ603</f>
        <v>0</v>
      </c>
      <c r="CD603" s="64">
        <f t="shared" si="934"/>
        <v>0</v>
      </c>
      <c r="CE603" s="64">
        <f t="shared" si="973"/>
        <v>0</v>
      </c>
      <c r="CF603" s="64">
        <f t="shared" si="974"/>
        <v>0</v>
      </c>
      <c r="CG603" s="64">
        <f t="shared" si="975"/>
        <v>0</v>
      </c>
      <c r="CH603" s="64"/>
      <c r="CI603" s="64"/>
    </row>
    <row r="604" spans="2:87" x14ac:dyDescent="0.2">
      <c r="B604" t="s">
        <v>202</v>
      </c>
      <c r="H604" s="64"/>
      <c r="I604" s="64"/>
      <c r="J604" s="64"/>
      <c r="K604" s="64"/>
      <c r="L604" s="81">
        <v>0</v>
      </c>
      <c r="M604" s="81">
        <v>0</v>
      </c>
      <c r="N604" s="81">
        <v>0</v>
      </c>
      <c r="O604" s="81">
        <v>0</v>
      </c>
      <c r="P604" s="81">
        <v>0</v>
      </c>
      <c r="Q604" s="81">
        <v>0</v>
      </c>
      <c r="R604" s="81">
        <v>0</v>
      </c>
      <c r="S604" s="81">
        <v>0</v>
      </c>
      <c r="T604" s="81">
        <v>0</v>
      </c>
      <c r="U604" s="81">
        <v>0</v>
      </c>
      <c r="V604" s="81">
        <v>0</v>
      </c>
      <c r="W604" s="81">
        <v>0</v>
      </c>
      <c r="X604" s="81">
        <v>0</v>
      </c>
      <c r="Y604" s="81">
        <v>0</v>
      </c>
      <c r="Z604" s="81">
        <v>0</v>
      </c>
      <c r="AA604" s="81">
        <v>0</v>
      </c>
      <c r="AB604" s="81">
        <v>0</v>
      </c>
      <c r="AC604" s="81">
        <v>0</v>
      </c>
      <c r="AD604" s="81">
        <v>0</v>
      </c>
      <c r="AE604" s="81">
        <v>0</v>
      </c>
      <c r="AF604" s="81">
        <v>0</v>
      </c>
      <c r="AG604" s="81">
        <v>0</v>
      </c>
      <c r="AH604" s="81">
        <v>0</v>
      </c>
      <c r="AI604" s="81">
        <v>0</v>
      </c>
      <c r="AJ604" s="81">
        <v>0</v>
      </c>
      <c r="AK604" s="81">
        <v>0</v>
      </c>
      <c r="AL604" s="81">
        <v>0</v>
      </c>
      <c r="AM604" s="81">
        <v>0</v>
      </c>
      <c r="AN604" s="81">
        <v>6565</v>
      </c>
      <c r="AO604" s="81">
        <v>7122</v>
      </c>
      <c r="AP604" s="81">
        <v>8356</v>
      </c>
      <c r="AQ604" s="81">
        <v>9524</v>
      </c>
      <c r="AR604" s="81">
        <v>9509</v>
      </c>
      <c r="AS604" s="81">
        <v>9633</v>
      </c>
      <c r="AT604" s="81">
        <v>9641</v>
      </c>
      <c r="AU604" s="81">
        <v>9631</v>
      </c>
      <c r="AV604" s="81">
        <v>10574</v>
      </c>
      <c r="AW604" s="81">
        <v>10956</v>
      </c>
      <c r="AX604" s="81">
        <v>11554</v>
      </c>
      <c r="AY604" s="81">
        <v>12746</v>
      </c>
      <c r="AZ604" s="81">
        <v>12894</v>
      </c>
      <c r="BA604" s="81">
        <v>14792</v>
      </c>
      <c r="BB604" s="81">
        <v>14687</v>
      </c>
      <c r="BC604" s="81">
        <v>15301</v>
      </c>
      <c r="BD604" s="81">
        <v>16171</v>
      </c>
      <c r="BE604" s="81">
        <v>16440</v>
      </c>
      <c r="BF604" s="81">
        <v>16374</v>
      </c>
      <c r="BG604" s="81">
        <v>17226</v>
      </c>
      <c r="BH604" s="81">
        <v>17570</v>
      </c>
      <c r="BI604" s="81">
        <v>17685</v>
      </c>
      <c r="BJ604" s="81">
        <v>18208</v>
      </c>
      <c r="BK604" s="81"/>
      <c r="BL604" s="81"/>
      <c r="BM604" s="81"/>
      <c r="BN604" s="81"/>
      <c r="BO604" s="81"/>
      <c r="BS604" s="64"/>
      <c r="BT604" s="81">
        <v>0</v>
      </c>
      <c r="BU604" s="81">
        <v>0</v>
      </c>
      <c r="BV604" s="64">
        <f>+O604</f>
        <v>0</v>
      </c>
      <c r="BW604" s="64">
        <f>+S604</f>
        <v>0</v>
      </c>
      <c r="BX604" s="64">
        <f>+W604</f>
        <v>0</v>
      </c>
      <c r="BY604" s="64">
        <f>+AA604</f>
        <v>0</v>
      </c>
      <c r="BZ604" s="64">
        <f>+AE604</f>
        <v>0</v>
      </c>
      <c r="CA604" s="64">
        <f>+AI604</f>
        <v>0</v>
      </c>
      <c r="CB604" s="64">
        <f>+AM604</f>
        <v>0</v>
      </c>
      <c r="CC604" s="64">
        <f>+AQ604</f>
        <v>9524</v>
      </c>
      <c r="CD604" s="64">
        <f t="shared" si="934"/>
        <v>9631</v>
      </c>
      <c r="CE604" s="64">
        <f t="shared" si="973"/>
        <v>12746</v>
      </c>
      <c r="CF604" s="64">
        <f t="shared" si="974"/>
        <v>15301</v>
      </c>
      <c r="CG604" s="64">
        <f t="shared" si="975"/>
        <v>17226</v>
      </c>
      <c r="CH604" s="64"/>
      <c r="CI604" s="64"/>
    </row>
    <row r="605" spans="2:87" ht="13.5" x14ac:dyDescent="0.35">
      <c r="B605" t="s">
        <v>163</v>
      </c>
      <c r="H605" s="64"/>
      <c r="I605" s="64"/>
      <c r="J605" s="64"/>
      <c r="K605" s="64"/>
      <c r="L605" s="82">
        <v>144</v>
      </c>
      <c r="M605" s="82">
        <v>191</v>
      </c>
      <c r="N605" s="82">
        <v>254</v>
      </c>
      <c r="O605" s="82">
        <v>305</v>
      </c>
      <c r="P605" s="82">
        <v>356</v>
      </c>
      <c r="Q605" s="82">
        <v>444</v>
      </c>
      <c r="R605" s="82">
        <v>614</v>
      </c>
      <c r="S605" s="82">
        <v>1088</v>
      </c>
      <c r="T605" s="82">
        <v>1063</v>
      </c>
      <c r="U605" s="82">
        <v>1056</v>
      </c>
      <c r="V605" s="82">
        <v>1587</v>
      </c>
      <c r="W605" s="82">
        <v>2327</v>
      </c>
      <c r="X605" s="82">
        <v>2647</v>
      </c>
      <c r="Y605" s="82">
        <v>2687</v>
      </c>
      <c r="Z605" s="82">
        <v>3148</v>
      </c>
      <c r="AA605" s="82">
        <v>3157</v>
      </c>
      <c r="AB605" s="82">
        <v>3116</v>
      </c>
      <c r="AC605" s="82">
        <v>3145</v>
      </c>
      <c r="AD605" s="82">
        <v>2964</v>
      </c>
      <c r="AE605" s="82">
        <v>2892</v>
      </c>
      <c r="AF605" s="82">
        <v>3598</v>
      </c>
      <c r="AG605" s="82">
        <v>4047</v>
      </c>
      <c r="AH605" s="82">
        <v>4485</v>
      </c>
      <c r="AI605" s="82">
        <v>6417</v>
      </c>
      <c r="AJ605" s="82">
        <v>6239</v>
      </c>
      <c r="AK605" s="82">
        <v>6239</v>
      </c>
      <c r="AL605" s="82">
        <v>6648</v>
      </c>
      <c r="AM605" s="82">
        <v>6190</v>
      </c>
      <c r="AN605" s="82">
        <v>6488</v>
      </c>
      <c r="AO605" s="82">
        <v>8143</v>
      </c>
      <c r="AP605" s="82">
        <v>8735</v>
      </c>
      <c r="AQ605" s="82">
        <v>7745</v>
      </c>
      <c r="AR605" s="82">
        <v>8489</v>
      </c>
      <c r="AS605" s="82">
        <v>8303</v>
      </c>
      <c r="AT605" s="82">
        <v>7121</v>
      </c>
      <c r="AU605" s="82">
        <v>6414</v>
      </c>
      <c r="AV605" s="82">
        <v>6575</v>
      </c>
      <c r="AW605" s="82">
        <v>6552</v>
      </c>
      <c r="AX605" s="82">
        <v>6859</v>
      </c>
      <c r="AY605" s="82">
        <v>7227</v>
      </c>
      <c r="AZ605" s="82">
        <v>7010</v>
      </c>
      <c r="BA605" s="82">
        <v>7003</v>
      </c>
      <c r="BB605" s="82">
        <v>7504</v>
      </c>
      <c r="BC605" s="82">
        <v>7764</v>
      </c>
      <c r="BD605" s="82">
        <v>8219</v>
      </c>
      <c r="BE605" s="82">
        <v>7912</v>
      </c>
      <c r="BF605" s="82">
        <v>8113</v>
      </c>
      <c r="BG605" s="82">
        <v>8884</v>
      </c>
      <c r="BH605" s="82">
        <f>1462+7795</f>
        <v>9257</v>
      </c>
      <c r="BI605" s="82">
        <f>2500+7897</f>
        <v>10397</v>
      </c>
      <c r="BJ605" s="82">
        <f>9171+2347</f>
        <v>11518</v>
      </c>
      <c r="BK605" s="82"/>
      <c r="BL605" s="82"/>
      <c r="BM605" s="82"/>
      <c r="BN605" s="82"/>
      <c r="BO605" s="82"/>
      <c r="BS605" s="64"/>
      <c r="BT605" s="82">
        <v>72</v>
      </c>
      <c r="BU605" s="82">
        <v>135</v>
      </c>
      <c r="BV605" s="65">
        <f>+O605</f>
        <v>305</v>
      </c>
      <c r="BW605" s="65">
        <f>+S605</f>
        <v>1088</v>
      </c>
      <c r="BX605" s="65">
        <f>+W605</f>
        <v>2327</v>
      </c>
      <c r="BY605" s="65">
        <f>+AA605</f>
        <v>3157</v>
      </c>
      <c r="BZ605" s="65">
        <f>+AE605</f>
        <v>2892</v>
      </c>
      <c r="CA605" s="65">
        <f>+AI605</f>
        <v>6417</v>
      </c>
      <c r="CB605" s="65">
        <f>+AM605</f>
        <v>6190</v>
      </c>
      <c r="CC605" s="65">
        <f>+AQ605</f>
        <v>7745</v>
      </c>
      <c r="CD605" s="65">
        <f t="shared" si="934"/>
        <v>6414</v>
      </c>
      <c r="CE605" s="65">
        <f t="shared" si="973"/>
        <v>7227</v>
      </c>
      <c r="CF605" s="65">
        <f t="shared" si="974"/>
        <v>7764</v>
      </c>
      <c r="CG605" s="65">
        <f t="shared" si="975"/>
        <v>8884</v>
      </c>
      <c r="CH605" s="65"/>
      <c r="CI605" s="65"/>
    </row>
    <row r="606" spans="2:87" s="44" customFormat="1" x14ac:dyDescent="0.2">
      <c r="B606" s="110" t="s">
        <v>209</v>
      </c>
      <c r="H606" s="111"/>
      <c r="I606" s="111"/>
      <c r="J606" s="111"/>
      <c r="K606" s="111"/>
      <c r="L606" s="111">
        <f>+L599+SUM(L601:L605)</f>
        <v>1587</v>
      </c>
      <c r="M606" s="111">
        <f t="shared" ref="M606:AT606" si="976">+M599+SUM(M601:M605)</f>
        <v>1619</v>
      </c>
      <c r="N606" s="111">
        <f t="shared" si="976"/>
        <v>1864</v>
      </c>
      <c r="O606" s="111">
        <f t="shared" si="976"/>
        <v>3348</v>
      </c>
      <c r="P606" s="111">
        <f t="shared" si="976"/>
        <v>3339</v>
      </c>
      <c r="Q606" s="111">
        <f t="shared" si="976"/>
        <v>3375</v>
      </c>
      <c r="R606" s="111">
        <f t="shared" si="976"/>
        <v>1885</v>
      </c>
      <c r="S606" s="111">
        <f t="shared" si="976"/>
        <v>2425</v>
      </c>
      <c r="T606" s="111">
        <f t="shared" si="976"/>
        <v>2291</v>
      </c>
      <c r="U606" s="111">
        <f t="shared" si="976"/>
        <v>2423</v>
      </c>
      <c r="V606" s="111">
        <f t="shared" si="976"/>
        <v>2950</v>
      </c>
      <c r="W606" s="111">
        <f t="shared" si="976"/>
        <v>3870</v>
      </c>
      <c r="X606" s="111">
        <f t="shared" si="976"/>
        <v>4506</v>
      </c>
      <c r="Y606" s="111">
        <f t="shared" si="976"/>
        <v>4678</v>
      </c>
      <c r="Z606" s="111">
        <f t="shared" si="976"/>
        <v>5049</v>
      </c>
      <c r="AA606" s="111">
        <f t="shared" si="976"/>
        <v>5189</v>
      </c>
      <c r="AB606" s="111">
        <f t="shared" si="976"/>
        <v>4925</v>
      </c>
      <c r="AC606" s="111">
        <f t="shared" si="976"/>
        <v>5356</v>
      </c>
      <c r="AD606" s="111">
        <f t="shared" si="976"/>
        <v>5559</v>
      </c>
      <c r="AE606" s="111">
        <f t="shared" si="976"/>
        <v>5767</v>
      </c>
      <c r="AF606" s="111">
        <f t="shared" si="976"/>
        <v>6526</v>
      </c>
      <c r="AG606" s="111">
        <f t="shared" si="976"/>
        <v>7362</v>
      </c>
      <c r="AH606" s="111">
        <f t="shared" si="976"/>
        <v>7790</v>
      </c>
      <c r="AI606" s="111">
        <f t="shared" si="976"/>
        <v>10177</v>
      </c>
      <c r="AJ606" s="111">
        <f t="shared" si="976"/>
        <v>11325</v>
      </c>
      <c r="AK606" s="111">
        <f t="shared" si="976"/>
        <v>10909</v>
      </c>
      <c r="AL606" s="111">
        <f t="shared" si="976"/>
        <v>12110</v>
      </c>
      <c r="AM606" s="111">
        <f t="shared" si="976"/>
        <v>13207</v>
      </c>
      <c r="AN606" s="111">
        <f t="shared" si="976"/>
        <v>22961</v>
      </c>
      <c r="AO606" s="111">
        <f t="shared" si="976"/>
        <v>28244</v>
      </c>
      <c r="AP606" s="111">
        <f t="shared" si="976"/>
        <v>30419</v>
      </c>
      <c r="AQ606" s="111">
        <f t="shared" si="976"/>
        <v>32322</v>
      </c>
      <c r="AR606" s="111">
        <f t="shared" si="976"/>
        <v>33067</v>
      </c>
      <c r="AS606" s="111">
        <f t="shared" si="976"/>
        <v>29244</v>
      </c>
      <c r="AT606" s="111">
        <f t="shared" si="976"/>
        <v>28706</v>
      </c>
      <c r="AU606" s="111">
        <f t="shared" ref="AU606:AZ606" si="977">+AU599+SUM(AU601:AU605)</f>
        <v>31026</v>
      </c>
      <c r="AV606" s="111">
        <f t="shared" si="977"/>
        <v>29866</v>
      </c>
      <c r="AW606" s="111">
        <f t="shared" si="977"/>
        <v>32382</v>
      </c>
      <c r="AX606" s="111">
        <f t="shared" si="977"/>
        <v>36225</v>
      </c>
      <c r="AY606" s="111">
        <f t="shared" si="977"/>
        <v>41108</v>
      </c>
      <c r="AZ606" s="111">
        <f t="shared" si="977"/>
        <v>40990</v>
      </c>
      <c r="BA606" s="111">
        <f t="shared" ref="BA606:BI606" si="978">+BA599+SUM(BA601:BA605)</f>
        <v>44012</v>
      </c>
      <c r="BB606" s="111">
        <f t="shared" si="978"/>
        <v>54800</v>
      </c>
      <c r="BC606" s="111">
        <f t="shared" si="978"/>
        <v>60014</v>
      </c>
      <c r="BD606" s="111">
        <f t="shared" si="978"/>
        <v>59696</v>
      </c>
      <c r="BE606" s="111">
        <f t="shared" si="978"/>
        <v>72655</v>
      </c>
      <c r="BF606" s="111">
        <f t="shared" si="978"/>
        <v>73401</v>
      </c>
      <c r="BG606" s="111">
        <f t="shared" si="978"/>
        <v>76455</v>
      </c>
      <c r="BH606" s="111">
        <f t="shared" si="978"/>
        <v>73315</v>
      </c>
      <c r="BI606" s="111">
        <f t="shared" si="978"/>
        <v>73475</v>
      </c>
      <c r="BJ606" s="111">
        <f t="shared" ref="BJ606" si="979">+BJ599+SUM(BJ601:BJ605)</f>
        <v>91879</v>
      </c>
      <c r="BK606" s="111"/>
      <c r="BL606" s="111"/>
      <c r="BM606" s="111"/>
      <c r="BN606" s="111"/>
      <c r="BO606" s="111"/>
      <c r="BS606" s="111"/>
      <c r="BT606" s="111">
        <f t="shared" ref="BT606:CC606" si="980">+BT599+SUM(BT601:BT605)</f>
        <v>1443</v>
      </c>
      <c r="BU606" s="111">
        <f t="shared" si="980"/>
        <v>2047</v>
      </c>
      <c r="BV606" s="111">
        <f t="shared" si="980"/>
        <v>3348</v>
      </c>
      <c r="BW606" s="111">
        <f t="shared" si="980"/>
        <v>2425</v>
      </c>
      <c r="BX606" s="111">
        <f t="shared" si="980"/>
        <v>3870</v>
      </c>
      <c r="BY606" s="111">
        <f t="shared" si="980"/>
        <v>5189</v>
      </c>
      <c r="BZ606" s="111">
        <f t="shared" si="980"/>
        <v>5767</v>
      </c>
      <c r="CA606" s="111">
        <f t="shared" si="980"/>
        <v>10177</v>
      </c>
      <c r="CB606" s="111">
        <f t="shared" si="980"/>
        <v>13207</v>
      </c>
      <c r="CC606" s="111">
        <f t="shared" si="980"/>
        <v>32322</v>
      </c>
      <c r="CD606" s="111">
        <f t="shared" si="934"/>
        <v>31026</v>
      </c>
      <c r="CE606" s="111">
        <f t="shared" si="973"/>
        <v>41108</v>
      </c>
      <c r="CF606" s="111">
        <f t="shared" si="974"/>
        <v>60014</v>
      </c>
      <c r="CG606" s="111">
        <f t="shared" si="975"/>
        <v>76455</v>
      </c>
      <c r="CH606" s="111"/>
      <c r="CI606" s="111"/>
    </row>
    <row r="607" spans="2:87" x14ac:dyDescent="0.2">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c r="AE607" s="64"/>
      <c r="AF607" s="64"/>
      <c r="AG607" s="64"/>
      <c r="AH607" s="64"/>
      <c r="AI607" s="64"/>
      <c r="AJ607" s="64"/>
      <c r="AK607" s="64"/>
      <c r="AL607" s="64"/>
      <c r="AM607" s="64"/>
      <c r="AN607" s="64"/>
      <c r="AO607" s="64"/>
      <c r="AP607" s="64"/>
      <c r="AQ607" s="64"/>
      <c r="AR607" s="64"/>
      <c r="AS607" s="64"/>
      <c r="AT607" s="64"/>
      <c r="AU607" s="64"/>
      <c r="AV607" s="64"/>
      <c r="AW607" s="64"/>
      <c r="AX607" s="64"/>
      <c r="AY607" s="64"/>
      <c r="AZ607" s="64"/>
      <c r="BA607" s="64"/>
      <c r="BB607" s="64"/>
      <c r="BC607" s="64"/>
      <c r="BD607" s="64"/>
      <c r="BE607" s="64"/>
      <c r="BF607" s="64"/>
      <c r="BG607" s="64"/>
      <c r="BH607" s="64"/>
      <c r="BI607" s="64"/>
      <c r="BJ607" s="64"/>
      <c r="BK607" s="64"/>
      <c r="BL607" s="64"/>
      <c r="BM607" s="64"/>
      <c r="BN607" s="64"/>
      <c r="BO607" s="64"/>
      <c r="BS607" s="64"/>
      <c r="BT607" s="64"/>
      <c r="BU607" s="64"/>
      <c r="BV607" s="64"/>
      <c r="BW607" s="64"/>
      <c r="BX607" s="64"/>
      <c r="BY607" s="64"/>
      <c r="BZ607" s="64"/>
      <c r="CA607" s="64"/>
      <c r="CB607" s="64"/>
      <c r="CC607" s="64"/>
      <c r="CD607" s="64"/>
      <c r="CE607" s="64"/>
      <c r="CF607" s="64"/>
      <c r="CG607" s="64"/>
      <c r="CH607" s="64"/>
      <c r="CI607" s="64"/>
    </row>
    <row r="608" spans="2:87" s="44" customFormat="1" x14ac:dyDescent="0.2">
      <c r="B608" s="110" t="s">
        <v>210</v>
      </c>
      <c r="H608" s="111"/>
      <c r="I608" s="111"/>
      <c r="J608" s="111"/>
      <c r="K608" s="111"/>
      <c r="L608" s="111">
        <f>+L591-L606</f>
        <v>5597</v>
      </c>
      <c r="M608" s="111">
        <f t="shared" ref="M608:AT608" si="981">+M591-M606</f>
        <v>13309</v>
      </c>
      <c r="N608" s="111">
        <f t="shared" si="981"/>
        <v>14174</v>
      </c>
      <c r="O608" s="111">
        <f t="shared" si="981"/>
        <v>11755</v>
      </c>
      <c r="P608" s="111">
        <f t="shared" si="981"/>
        <v>11824</v>
      </c>
      <c r="Q608" s="111">
        <f t="shared" si="981"/>
        <v>12349</v>
      </c>
      <c r="R608" s="111">
        <f t="shared" si="981"/>
        <v>13048</v>
      </c>
      <c r="S608" s="111">
        <f t="shared" si="981"/>
        <v>15470</v>
      </c>
      <c r="T608" s="111">
        <f t="shared" si="981"/>
        <v>16737</v>
      </c>
      <c r="U608" s="111">
        <f t="shared" si="981"/>
        <v>18346</v>
      </c>
      <c r="V608" s="111">
        <f t="shared" si="981"/>
        <v>21238</v>
      </c>
      <c r="W608" s="111">
        <f t="shared" si="981"/>
        <v>36096</v>
      </c>
      <c r="X608" s="111">
        <f t="shared" si="981"/>
        <v>37501</v>
      </c>
      <c r="Y608" s="111">
        <f t="shared" si="981"/>
        <v>39452</v>
      </c>
      <c r="Z608" s="111">
        <f t="shared" si="981"/>
        <v>41420</v>
      </c>
      <c r="AA608" s="111">
        <f t="shared" si="981"/>
        <v>44218</v>
      </c>
      <c r="AB608" s="111">
        <f t="shared" si="981"/>
        <v>47150</v>
      </c>
      <c r="AC608" s="111">
        <f t="shared" si="981"/>
        <v>50383</v>
      </c>
      <c r="AD608" s="111">
        <f t="shared" si="981"/>
        <v>54115</v>
      </c>
      <c r="AE608" s="111">
        <f t="shared" si="981"/>
        <v>59194</v>
      </c>
      <c r="AF608" s="111">
        <f t="shared" si="981"/>
        <v>62188</v>
      </c>
      <c r="AG608" s="111">
        <f t="shared" si="981"/>
        <v>66481</v>
      </c>
      <c r="AH608" s="111">
        <f t="shared" si="981"/>
        <v>71208</v>
      </c>
      <c r="AI608" s="111">
        <f t="shared" si="981"/>
        <v>74347</v>
      </c>
      <c r="AJ608" s="111">
        <f t="shared" si="981"/>
        <v>77620</v>
      </c>
      <c r="AK608" s="111">
        <f t="shared" si="981"/>
        <v>79382</v>
      </c>
      <c r="AL608" s="111">
        <f t="shared" si="981"/>
        <v>80342</v>
      </c>
      <c r="AM608" s="111">
        <f t="shared" si="981"/>
        <v>84127</v>
      </c>
      <c r="AN608" s="111">
        <f t="shared" si="981"/>
        <v>86516</v>
      </c>
      <c r="AO608" s="111">
        <f t="shared" si="981"/>
        <v>88762</v>
      </c>
      <c r="AP608" s="111">
        <f t="shared" si="981"/>
        <v>93999</v>
      </c>
      <c r="AQ608" s="111">
        <f t="shared" si="981"/>
        <v>101054</v>
      </c>
      <c r="AR608" s="111">
        <f t="shared" si="981"/>
        <v>105304</v>
      </c>
      <c r="AS608" s="111">
        <f t="shared" si="981"/>
        <v>110447</v>
      </c>
      <c r="AT608" s="111">
        <f t="shared" si="981"/>
        <v>117731</v>
      </c>
      <c r="AU608" s="111">
        <f t="shared" ref="AU608:AZ608" si="982">+AU591-AU606</f>
        <v>128290</v>
      </c>
      <c r="AV608" s="111">
        <f t="shared" si="982"/>
        <v>133657</v>
      </c>
      <c r="AW608" s="111">
        <f t="shared" si="982"/>
        <v>138227</v>
      </c>
      <c r="AX608" s="111">
        <f t="shared" si="982"/>
        <v>133360</v>
      </c>
      <c r="AY608" s="111">
        <f t="shared" si="982"/>
        <v>124879</v>
      </c>
      <c r="AZ608" s="111">
        <f t="shared" si="982"/>
        <v>123228</v>
      </c>
      <c r="BA608" s="111">
        <f t="shared" ref="BA608:BI608" si="983">+BA591-BA606</f>
        <v>125767</v>
      </c>
      <c r="BB608" s="111">
        <f t="shared" si="983"/>
        <v>124094</v>
      </c>
      <c r="BC608" s="111">
        <f t="shared" si="983"/>
        <v>125713</v>
      </c>
      <c r="BD608" s="111">
        <f t="shared" si="983"/>
        <v>124795</v>
      </c>
      <c r="BE608" s="111">
        <f t="shared" si="983"/>
        <v>134033</v>
      </c>
      <c r="BF608" s="111">
        <f t="shared" si="983"/>
        <v>142873</v>
      </c>
      <c r="BG608" s="111">
        <f t="shared" si="983"/>
        <v>153168</v>
      </c>
      <c r="BH608" s="111">
        <f t="shared" si="983"/>
        <v>149529</v>
      </c>
      <c r="BI608" s="111">
        <f t="shared" si="983"/>
        <v>156763</v>
      </c>
      <c r="BJ608" s="111">
        <f t="shared" ref="BJ608" si="984">+BJ591-BJ606</f>
        <v>164529</v>
      </c>
      <c r="BK608" s="111"/>
      <c r="BL608" s="111"/>
      <c r="BM608" s="111"/>
      <c r="BN608" s="111"/>
      <c r="BO608" s="111"/>
      <c r="BS608" s="111"/>
      <c r="BT608" s="111">
        <f t="shared" ref="BT608:CC608" si="985">+BT591-BT606</f>
        <v>1547</v>
      </c>
      <c r="BU608" s="111">
        <f t="shared" si="985"/>
        <v>4284</v>
      </c>
      <c r="BV608" s="111">
        <f t="shared" si="985"/>
        <v>11755</v>
      </c>
      <c r="BW608" s="111">
        <f t="shared" si="985"/>
        <v>15470</v>
      </c>
      <c r="BX608" s="111">
        <f t="shared" si="985"/>
        <v>36096</v>
      </c>
      <c r="BY608" s="111">
        <f t="shared" si="985"/>
        <v>44218</v>
      </c>
      <c r="BZ608" s="111">
        <f t="shared" si="985"/>
        <v>59194</v>
      </c>
      <c r="CA608" s="111">
        <f t="shared" si="985"/>
        <v>74347</v>
      </c>
      <c r="CB608" s="111">
        <f t="shared" si="985"/>
        <v>84127</v>
      </c>
      <c r="CC608" s="111">
        <f t="shared" si="985"/>
        <v>101054</v>
      </c>
      <c r="CD608" s="111">
        <f t="shared" si="934"/>
        <v>128290</v>
      </c>
      <c r="CE608" s="111">
        <f>+AY608</f>
        <v>124879</v>
      </c>
      <c r="CF608" s="111">
        <f>+BC608</f>
        <v>125713</v>
      </c>
      <c r="CG608" s="111">
        <f>+BG608</f>
        <v>153168</v>
      </c>
      <c r="CH608" s="111"/>
      <c r="CI608" s="111"/>
    </row>
    <row r="609" spans="1:91" x14ac:dyDescent="0.2">
      <c r="CJ609" s="81"/>
      <c r="CK609" s="81"/>
      <c r="CL609" s="81"/>
      <c r="CM609" s="81"/>
    </row>
    <row r="610" spans="1:91" x14ac:dyDescent="0.2">
      <c r="B610" s="52" t="s">
        <v>220</v>
      </c>
      <c r="C610" s="53"/>
      <c r="AH610" s="56"/>
    </row>
    <row r="611" spans="1:91" hidden="1" outlineLevel="1" x14ac:dyDescent="0.2"/>
    <row r="612" spans="1:91" hidden="1" outlineLevel="1" x14ac:dyDescent="0.2">
      <c r="B612" t="s">
        <v>221</v>
      </c>
      <c r="D612" s="92">
        <v>40179</v>
      </c>
      <c r="E612" s="92">
        <f>+D613+1</f>
        <v>40269</v>
      </c>
      <c r="F612" s="92">
        <f t="shared" ref="F612:AU612" si="986">+E613+1</f>
        <v>40360</v>
      </c>
      <c r="G612" s="92">
        <f t="shared" si="986"/>
        <v>40452</v>
      </c>
      <c r="H612" s="92">
        <f t="shared" si="986"/>
        <v>40544</v>
      </c>
      <c r="I612" s="92">
        <f t="shared" si="986"/>
        <v>40634</v>
      </c>
      <c r="J612" s="92">
        <f t="shared" si="986"/>
        <v>40725</v>
      </c>
      <c r="K612" s="92">
        <f t="shared" si="986"/>
        <v>40817</v>
      </c>
      <c r="L612" s="92">
        <f t="shared" si="986"/>
        <v>40909</v>
      </c>
      <c r="M612" s="92">
        <f t="shared" si="986"/>
        <v>41000</v>
      </c>
      <c r="N612" s="92">
        <f t="shared" si="986"/>
        <v>41091</v>
      </c>
      <c r="O612" s="92">
        <f t="shared" si="986"/>
        <v>41183</v>
      </c>
      <c r="P612" s="92">
        <f t="shared" si="986"/>
        <v>41275</v>
      </c>
      <c r="Q612" s="92">
        <f t="shared" si="986"/>
        <v>41365</v>
      </c>
      <c r="R612" s="92">
        <f t="shared" si="986"/>
        <v>41456</v>
      </c>
      <c r="S612" s="92">
        <f t="shared" si="986"/>
        <v>41548</v>
      </c>
      <c r="T612" s="92">
        <f t="shared" si="986"/>
        <v>41640</v>
      </c>
      <c r="U612" s="92">
        <f t="shared" si="986"/>
        <v>41730</v>
      </c>
      <c r="V612" s="92">
        <f t="shared" si="986"/>
        <v>41821</v>
      </c>
      <c r="W612" s="92">
        <f t="shared" si="986"/>
        <v>41913</v>
      </c>
      <c r="X612" s="92">
        <f t="shared" si="986"/>
        <v>42005</v>
      </c>
      <c r="Y612" s="92">
        <f t="shared" si="986"/>
        <v>42095</v>
      </c>
      <c r="Z612" s="92">
        <f t="shared" si="986"/>
        <v>42186</v>
      </c>
      <c r="AA612" s="92">
        <f t="shared" si="986"/>
        <v>42278</v>
      </c>
      <c r="AB612" s="92">
        <f t="shared" si="986"/>
        <v>42370</v>
      </c>
      <c r="AC612" s="92">
        <f t="shared" si="986"/>
        <v>42461</v>
      </c>
      <c r="AD612" s="92">
        <f t="shared" si="986"/>
        <v>42552</v>
      </c>
      <c r="AE612" s="92">
        <f t="shared" si="986"/>
        <v>42644</v>
      </c>
      <c r="AF612" s="92">
        <f t="shared" si="986"/>
        <v>42736</v>
      </c>
      <c r="AG612" s="92">
        <f t="shared" si="986"/>
        <v>42826</v>
      </c>
      <c r="AH612" s="92">
        <f t="shared" si="986"/>
        <v>42917</v>
      </c>
      <c r="AI612" s="92">
        <f t="shared" si="986"/>
        <v>43009</v>
      </c>
      <c r="AJ612" s="92">
        <f t="shared" si="986"/>
        <v>43101</v>
      </c>
      <c r="AK612" s="92">
        <f t="shared" si="986"/>
        <v>43191</v>
      </c>
      <c r="AL612" s="92">
        <f t="shared" si="986"/>
        <v>43282</v>
      </c>
      <c r="AM612" s="92">
        <f t="shared" si="986"/>
        <v>43374</v>
      </c>
      <c r="AN612" s="92">
        <f t="shared" si="986"/>
        <v>43466</v>
      </c>
      <c r="AO612" s="92">
        <f t="shared" si="986"/>
        <v>43556</v>
      </c>
      <c r="AP612" s="92">
        <f t="shared" si="986"/>
        <v>43647</v>
      </c>
      <c r="AQ612" s="92">
        <f t="shared" si="986"/>
        <v>43739</v>
      </c>
      <c r="AR612" s="92">
        <f t="shared" si="986"/>
        <v>43831</v>
      </c>
      <c r="AS612" s="92">
        <f t="shared" si="986"/>
        <v>43922</v>
      </c>
      <c r="AT612" s="92">
        <f t="shared" si="986"/>
        <v>44013</v>
      </c>
      <c r="AU612" s="92">
        <f t="shared" si="986"/>
        <v>44105</v>
      </c>
      <c r="AV612" s="92">
        <f t="shared" ref="AV612:BE612" si="987">+AU613+1</f>
        <v>44197</v>
      </c>
      <c r="AW612" s="92">
        <f t="shared" si="987"/>
        <v>44287</v>
      </c>
      <c r="AX612" s="92">
        <f t="shared" si="987"/>
        <v>44378</v>
      </c>
      <c r="AY612" s="92">
        <f t="shared" si="987"/>
        <v>44470</v>
      </c>
      <c r="AZ612" s="92">
        <f t="shared" si="987"/>
        <v>44562</v>
      </c>
      <c r="BA612" s="92">
        <f t="shared" si="987"/>
        <v>44652</v>
      </c>
      <c r="BB612" s="92">
        <f t="shared" si="987"/>
        <v>44743</v>
      </c>
      <c r="BC612" s="92">
        <f t="shared" si="987"/>
        <v>44835</v>
      </c>
      <c r="BD612" s="92">
        <f t="shared" si="987"/>
        <v>44927</v>
      </c>
      <c r="BE612" s="92">
        <f t="shared" si="987"/>
        <v>45017</v>
      </c>
      <c r="BF612" s="92">
        <f t="shared" ref="BF612:BK612" si="988">+BE613+1</f>
        <v>45108</v>
      </c>
      <c r="BG612" s="92">
        <f t="shared" si="988"/>
        <v>45200</v>
      </c>
      <c r="BH612" s="92">
        <f t="shared" si="988"/>
        <v>45292</v>
      </c>
      <c r="BI612" s="92">
        <f t="shared" si="988"/>
        <v>45383</v>
      </c>
      <c r="BJ612" s="92">
        <f t="shared" si="988"/>
        <v>45474</v>
      </c>
      <c r="BK612" s="92">
        <f t="shared" si="988"/>
        <v>45566</v>
      </c>
      <c r="BL612" s="92">
        <f t="shared" ref="BL612" si="989">+BK613+1</f>
        <v>45658</v>
      </c>
      <c r="BM612" s="92">
        <f t="shared" ref="BM612" si="990">+BL613+1</f>
        <v>45748</v>
      </c>
      <c r="BN612" s="92">
        <f t="shared" ref="BN612" si="991">+BM613+1</f>
        <v>45839</v>
      </c>
      <c r="BO612" s="92">
        <f t="shared" ref="BO612" si="992">+BN613+1</f>
        <v>45931</v>
      </c>
      <c r="BP612" s="93"/>
      <c r="BU612" s="94">
        <v>40544</v>
      </c>
      <c r="BV612" s="92">
        <f>+BU613+1</f>
        <v>40909</v>
      </c>
      <c r="BW612" s="92">
        <f>+BV613+1</f>
        <v>41275</v>
      </c>
      <c r="BX612" s="92">
        <f t="shared" ref="BX612:CH612" si="993">+BW613+1</f>
        <v>41640</v>
      </c>
      <c r="BY612" s="92">
        <f t="shared" si="993"/>
        <v>42005</v>
      </c>
      <c r="BZ612" s="92">
        <f t="shared" si="993"/>
        <v>42370</v>
      </c>
      <c r="CA612" s="92">
        <f t="shared" si="993"/>
        <v>42736</v>
      </c>
      <c r="CB612" s="92">
        <f t="shared" si="993"/>
        <v>43101</v>
      </c>
      <c r="CC612" s="92">
        <f t="shared" si="993"/>
        <v>43466</v>
      </c>
      <c r="CD612" s="92">
        <f t="shared" si="993"/>
        <v>43831</v>
      </c>
      <c r="CE612" s="92">
        <f t="shared" si="993"/>
        <v>44197</v>
      </c>
      <c r="CF612" s="92">
        <f t="shared" si="993"/>
        <v>44562</v>
      </c>
      <c r="CG612" s="92">
        <f t="shared" si="993"/>
        <v>44927</v>
      </c>
      <c r="CH612" s="92">
        <f t="shared" si="993"/>
        <v>45292</v>
      </c>
      <c r="CI612" s="92"/>
    </row>
    <row r="613" spans="1:91" hidden="1" outlineLevel="1" x14ac:dyDescent="0.2">
      <c r="B613" t="s">
        <v>222</v>
      </c>
      <c r="D613" s="94">
        <v>40268</v>
      </c>
      <c r="E613" s="94">
        <v>40359</v>
      </c>
      <c r="F613" s="94">
        <v>40451</v>
      </c>
      <c r="G613" s="94">
        <v>40543</v>
      </c>
      <c r="H613" s="94">
        <v>40633</v>
      </c>
      <c r="I613" s="94">
        <v>40724</v>
      </c>
      <c r="J613" s="94">
        <v>40816</v>
      </c>
      <c r="K613" s="94">
        <v>40908</v>
      </c>
      <c r="L613" s="94">
        <v>40999</v>
      </c>
      <c r="M613" s="94">
        <v>41090</v>
      </c>
      <c r="N613" s="94">
        <v>41182</v>
      </c>
      <c r="O613" s="94">
        <v>41274</v>
      </c>
      <c r="P613" s="94">
        <v>41364</v>
      </c>
      <c r="Q613" s="94">
        <v>41455</v>
      </c>
      <c r="R613" s="94">
        <v>41547</v>
      </c>
      <c r="S613" s="94">
        <v>41639</v>
      </c>
      <c r="T613" s="94">
        <v>41729</v>
      </c>
      <c r="U613" s="94">
        <v>41820</v>
      </c>
      <c r="V613" s="94">
        <v>41912</v>
      </c>
      <c r="W613" s="94">
        <v>42004</v>
      </c>
      <c r="X613" s="94">
        <v>42094</v>
      </c>
      <c r="Y613" s="94">
        <v>42185</v>
      </c>
      <c r="Z613" s="94">
        <v>42277</v>
      </c>
      <c r="AA613" s="94">
        <v>42369</v>
      </c>
      <c r="AB613" s="94">
        <v>42460</v>
      </c>
      <c r="AC613" s="94">
        <v>42551</v>
      </c>
      <c r="AD613" s="94">
        <v>42643</v>
      </c>
      <c r="AE613" s="94">
        <v>42735</v>
      </c>
      <c r="AF613" s="94">
        <v>42825</v>
      </c>
      <c r="AG613" s="94">
        <v>42916</v>
      </c>
      <c r="AH613" s="94">
        <v>43008</v>
      </c>
      <c r="AI613" s="94">
        <v>43100</v>
      </c>
      <c r="AJ613" s="94">
        <v>43190</v>
      </c>
      <c r="AK613" s="94">
        <v>43281</v>
      </c>
      <c r="AL613" s="94">
        <v>43373</v>
      </c>
      <c r="AM613" s="94">
        <v>43465</v>
      </c>
      <c r="AN613" s="94">
        <v>43555</v>
      </c>
      <c r="AO613" s="94">
        <v>43646</v>
      </c>
      <c r="AP613" s="94">
        <v>43738</v>
      </c>
      <c r="AQ613" s="94">
        <v>43830</v>
      </c>
      <c r="AR613" s="94">
        <v>43921</v>
      </c>
      <c r="AS613" s="94">
        <v>44012</v>
      </c>
      <c r="AT613" s="94">
        <v>44104</v>
      </c>
      <c r="AU613" s="94">
        <v>44196</v>
      </c>
      <c r="AV613" s="94">
        <v>44286</v>
      </c>
      <c r="AW613" s="94">
        <v>44377</v>
      </c>
      <c r="AX613" s="94">
        <v>44469</v>
      </c>
      <c r="AY613" s="94">
        <v>44561</v>
      </c>
      <c r="AZ613" s="94">
        <v>44651</v>
      </c>
      <c r="BA613" s="94">
        <v>44742</v>
      </c>
      <c r="BB613" s="94">
        <v>44834</v>
      </c>
      <c r="BC613" s="94">
        <v>44926</v>
      </c>
      <c r="BD613" s="94">
        <v>45016</v>
      </c>
      <c r="BE613" s="94">
        <v>45107</v>
      </c>
      <c r="BF613" s="94">
        <v>45199</v>
      </c>
      <c r="BG613" s="94">
        <v>45291</v>
      </c>
      <c r="BH613" s="94">
        <v>45382</v>
      </c>
      <c r="BI613" s="94">
        <v>45473</v>
      </c>
      <c r="BJ613" s="94">
        <v>45565</v>
      </c>
      <c r="BK613" s="94">
        <v>45657</v>
      </c>
      <c r="BL613" s="94">
        <v>45747</v>
      </c>
      <c r="BM613" s="94">
        <v>45838</v>
      </c>
      <c r="BN613" s="94">
        <v>45930</v>
      </c>
      <c r="BO613" s="94">
        <v>46022</v>
      </c>
      <c r="BU613" s="94">
        <v>40908</v>
      </c>
      <c r="BV613" s="94">
        <v>41274</v>
      </c>
      <c r="BW613" s="94">
        <v>41639</v>
      </c>
      <c r="BX613" s="94">
        <v>42004</v>
      </c>
      <c r="BY613" s="94">
        <v>42369</v>
      </c>
      <c r="BZ613" s="94">
        <v>42735</v>
      </c>
      <c r="CA613" s="94">
        <v>43100</v>
      </c>
      <c r="CB613" s="94">
        <v>43465</v>
      </c>
      <c r="CC613" s="94">
        <v>43830</v>
      </c>
      <c r="CD613" s="94">
        <v>44196</v>
      </c>
      <c r="CE613" s="94">
        <v>44561</v>
      </c>
      <c r="CF613" s="94">
        <v>44926</v>
      </c>
      <c r="CG613" s="94">
        <v>45291</v>
      </c>
      <c r="CH613" s="94">
        <v>45657</v>
      </c>
      <c r="CI613" s="94"/>
    </row>
    <row r="614" spans="1:91" s="76" customFormat="1" collapsed="1" x14ac:dyDescent="0.2">
      <c r="B614" s="60"/>
      <c r="D614" s="95"/>
      <c r="E614" s="95"/>
      <c r="F614" s="95"/>
      <c r="G614" s="95"/>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7"/>
      <c r="AT614" s="57"/>
      <c r="AU614" s="57"/>
      <c r="AV614" s="57"/>
      <c r="AW614" s="57"/>
      <c r="AX614" s="57"/>
      <c r="AY614" s="57"/>
      <c r="AZ614" s="57"/>
      <c r="BA614" s="57"/>
      <c r="BB614" s="57"/>
      <c r="BC614" s="57"/>
      <c r="BD614" s="182"/>
      <c r="BE614" s="57"/>
      <c r="BF614" s="57"/>
      <c r="BG614" s="57"/>
      <c r="BH614" s="57"/>
      <c r="BI614" s="57"/>
      <c r="BJ614" s="57"/>
      <c r="BK614" s="57"/>
      <c r="BL614" s="57"/>
      <c r="BM614" s="57"/>
      <c r="BN614" s="57"/>
      <c r="BO614" s="57"/>
    </row>
    <row r="615" spans="1:91" s="76" customFormat="1" x14ac:dyDescent="0.2">
      <c r="B615" s="54" t="s">
        <v>223</v>
      </c>
      <c r="D615" s="95"/>
      <c r="E615" s="95"/>
      <c r="F615" s="95"/>
      <c r="G615" s="95"/>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c r="AR615" s="57"/>
      <c r="AS615" s="57"/>
      <c r="AT615" s="57"/>
      <c r="AU615" s="57"/>
      <c r="AV615" s="57"/>
      <c r="AW615" s="57"/>
      <c r="AX615" s="57"/>
      <c r="AY615" s="57"/>
      <c r="AZ615" s="57"/>
      <c r="BA615" s="57"/>
      <c r="BB615" s="57"/>
      <c r="BC615" s="57"/>
      <c r="BD615" s="182"/>
      <c r="BE615" s="57"/>
      <c r="BF615" s="57"/>
      <c r="BG615" s="57"/>
      <c r="BH615" s="57"/>
      <c r="BI615" s="57"/>
      <c r="BJ615" s="57"/>
      <c r="BK615" s="57"/>
      <c r="BL615" s="57"/>
      <c r="BM615" s="57"/>
      <c r="BN615" s="57"/>
      <c r="BO615" s="57"/>
    </row>
    <row r="616" spans="1:91" s="76" customFormat="1" x14ac:dyDescent="0.2">
      <c r="A616" s="76" t="s">
        <v>224</v>
      </c>
      <c r="B616" t="s">
        <v>225</v>
      </c>
      <c r="D616" s="252">
        <f>_xll.ciqfunctions.udf.CIQAVG("$"&amp;$A616,"IQ_LASTSALEPRICE",D$612,D$613)</f>
        <v>1.559423</v>
      </c>
      <c r="E616" s="252">
        <f>_xll.ciqfunctions.udf.CIQAVG("$"&amp;$A616,"IQ_LASTSALEPRICE",E$612,E$613)</f>
        <v>1.4910620000000001</v>
      </c>
      <c r="F616" s="252">
        <f>_xll.ciqfunctions.udf.CIQAVG("$"&amp;$A616,"IQ_LASTSALEPRICE",F$612,F$613)</f>
        <v>1.550729</v>
      </c>
      <c r="G616" s="252">
        <f>_xll.ciqfunctions.udf.CIQAVG("$"&amp;$A616,"IQ_LASTSALEPRICE",G$612,G$613)</f>
        <v>1.580759</v>
      </c>
      <c r="H616" s="252">
        <f>_xll.ciqfunctions.udf.CIQAVG("$"&amp;$A616,"IQ_LASTSALEPRICE",H$612,H$613)</f>
        <v>1.601526</v>
      </c>
      <c r="I616" s="252">
        <f>_xll.ciqfunctions.udf.CIQAVG("$"&amp;$A616,"IQ_LASTSALEPRICE",I$612,I$613)</f>
        <v>1.6309629999999999</v>
      </c>
      <c r="J616" s="252">
        <f>_xll.ciqfunctions.udf.CIQAVG("$"&amp;$A616,"IQ_LASTSALEPRICE",J$612,J$613)</f>
        <v>1.61131</v>
      </c>
      <c r="K616" s="252">
        <f>_xll.ciqfunctions.udf.CIQAVG("$"&amp;$A616,"IQ_LASTSALEPRICE",K$612,K$613)</f>
        <v>1.5726629999999999</v>
      </c>
      <c r="L616" s="252">
        <f>_xll.ciqfunctions.udf.CIQAVG("$"&amp;$A616,"IQ_LASTSALEPRICE",L$612,L$613)</f>
        <v>1.57087</v>
      </c>
      <c r="M616" s="252">
        <f>_xll.ciqfunctions.udf.CIQAVG("$"&amp;$A616,"IQ_LASTSALEPRICE",M$612,M$613)</f>
        <v>1.5822940000000001</v>
      </c>
      <c r="N616" s="252">
        <f>_xll.ciqfunctions.udf.CIQAVG("$"&amp;$A616,"IQ_LASTSALEPRICE",N$612,N$613)</f>
        <v>1.580327</v>
      </c>
      <c r="O616" s="252">
        <f>_xll.ciqfunctions.udf.CIQAVG("$"&amp;$A616,"IQ_LASTSALEPRICE",O$612,O$613)</f>
        <v>1.6055079999999999</v>
      </c>
      <c r="P616" s="252">
        <f>_xll.ciqfunctions.udf.CIQAVG("$"&amp;$A616,"IQ_LASTSALEPRICE",P$612,P$613)</f>
        <v>1.5519130000000001</v>
      </c>
      <c r="Q616" s="252">
        <f>_xll.ciqfunctions.udf.CIQAVG("$"&amp;$A616,"IQ_LASTSALEPRICE",Q$612,Q$613)</f>
        <v>1.535615</v>
      </c>
      <c r="R616" s="252">
        <f>_xll.ciqfunctions.udf.CIQAVG("$"&amp;$A616,"IQ_LASTSALEPRICE",R$612,R$613)</f>
        <v>1.5509390000000001</v>
      </c>
      <c r="S616" s="252">
        <f>_xll.ciqfunctions.udf.CIQAVG("$"&amp;$A616,"IQ_LASTSALEPRICE",S$612,S$613)</f>
        <v>1.619059</v>
      </c>
      <c r="T616" s="252">
        <f>_xll.ciqfunctions.udf.CIQAVG("$"&amp;$A616,"IQ_LASTSALEPRICE",T$612,T$613)</f>
        <v>1.6553819999999999</v>
      </c>
      <c r="U616" s="252">
        <f>_xll.ciqfunctions.udf.CIQAVG("$"&amp;$A616,"IQ_LASTSALEPRICE",U$612,U$613)</f>
        <v>1.683252</v>
      </c>
      <c r="V616" s="252">
        <f>_xll.ciqfunctions.udf.CIQAVG("$"&amp;$A616,"IQ_LASTSALEPRICE",V$612,V$613)</f>
        <v>1.669211</v>
      </c>
      <c r="W616" s="252">
        <f>_xll.ciqfunctions.udf.CIQAVG("$"&amp;$A616,"IQ_LASTSALEPRICE",W$612,W$613)</f>
        <v>1.5823020000000001</v>
      </c>
      <c r="X616" s="252">
        <f>_xll.ciqfunctions.udf.CIQAVG("$"&amp;$A616,"IQ_LASTSALEPRICE",X$612,X$613)</f>
        <v>1.514308</v>
      </c>
      <c r="Y616" s="252">
        <f>_xll.ciqfunctions.udf.CIQAVG("$"&amp;$A616,"IQ_LASTSALEPRICE",Y$612,Y$613)</f>
        <v>1.5328839999999999</v>
      </c>
      <c r="Z616" s="252">
        <f>_xll.ciqfunctions.udf.CIQAVG("$"&amp;$A616,"IQ_LASTSALEPRICE",Z$612,Z$613)</f>
        <v>1.5488710000000001</v>
      </c>
      <c r="AA616" s="252">
        <f>_xll.ciqfunctions.udf.CIQAVG("$"&amp;$A616,"IQ_LASTSALEPRICE",AA$612,AA$613)</f>
        <v>1.5173589999999999</v>
      </c>
      <c r="AB616" s="252">
        <f>_xll.ciqfunctions.udf.CIQAVG("$"&amp;$A616,"IQ_LASTSALEPRICE",AB$612,AB$613)</f>
        <v>1.4320839999999999</v>
      </c>
      <c r="AC616" s="252">
        <f>_xll.ciqfunctions.udf.CIQAVG("$"&amp;$A616,"IQ_LASTSALEPRICE",AC$612,AC$613)</f>
        <v>1.434348</v>
      </c>
      <c r="AD616" s="252">
        <f>_xll.ciqfunctions.udf.CIQAVG("$"&amp;$A616,"IQ_LASTSALEPRICE",AD$612,AD$613)</f>
        <v>1.3131139999999999</v>
      </c>
      <c r="AE616" s="252">
        <f>_xll.ciqfunctions.udf.CIQAVG("$"&amp;$A616,"IQ_LASTSALEPRICE",AE$612,AE$613)</f>
        <v>1.242265</v>
      </c>
      <c r="AF616" s="252">
        <f>_xll.ciqfunctions.udf.CIQAVG("$"&amp;$A616,"IQ_LASTSALEPRICE",AF$612,AF$613)</f>
        <v>1.2386539999999999</v>
      </c>
      <c r="AG616" s="252">
        <f>_xll.ciqfunctions.udf.CIQAVG("$"&amp;$A616,"IQ_LASTSALEPRICE",AG$612,AG$613)</f>
        <v>1.2790049999999999</v>
      </c>
      <c r="AH616" s="252">
        <f>_xll.ciqfunctions.udf.CIQAVG("$"&amp;$A616,"IQ_LASTSALEPRICE",AH$612,AH$613)</f>
        <v>1.308667</v>
      </c>
      <c r="AI616" s="252">
        <f>_xll.ciqfunctions.udf.CIQAVG("$"&amp;$A616,"IQ_LASTSALEPRICE",AI$612,AI$613)</f>
        <v>1.327394</v>
      </c>
      <c r="AJ616" s="252">
        <f>_xll.ciqfunctions.udf.CIQAVG("$"&amp;$A616,"IQ_LASTSALEPRICE",AJ$612,AJ$613)</f>
        <v>1.391348</v>
      </c>
      <c r="AK616" s="252">
        <f>_xll.ciqfunctions.udf.CIQAVG("$"&amp;$A616,"IQ_LASTSALEPRICE",AK$612,AK$613)</f>
        <v>1.360757</v>
      </c>
      <c r="AL616" s="252">
        <f>_xll.ciqfunctions.udf.CIQAVG("$"&amp;$A616,"IQ_LASTSALEPRICE",AL$612,AL$613)</f>
        <v>1.3029269999999999</v>
      </c>
      <c r="AM616" s="252">
        <f>_xll.ciqfunctions.udf.CIQAVG("$"&amp;$A616,"IQ_LASTSALEPRICE",AM$612,AM$613)</f>
        <v>1.2863020000000001</v>
      </c>
      <c r="AN616" s="252">
        <f>_xll.ciqfunctions.udf.CIQAVG("$"&amp;$A616,"IQ_LASTSALEPRICE",AN$612,AN$613)</f>
        <v>1.3020179999999999</v>
      </c>
      <c r="AO616" s="252">
        <f>_xll.ciqfunctions.udf.CIQAVG("$"&amp;$A616,"IQ_LASTSALEPRICE",AO$612,AO$613)</f>
        <v>1.2852490000000001</v>
      </c>
      <c r="AP616" s="252">
        <f>_xll.ciqfunctions.udf.CIQAVG("$"&amp;$A616,"IQ_LASTSALEPRICE",AP$612,AP$613)</f>
        <v>1.232893</v>
      </c>
      <c r="AQ616" s="252">
        <f>_xll.ciqfunctions.udf.CIQAVG("$"&amp;$A616,"IQ_LASTSALEPRICE",AQ$612,AQ$613)</f>
        <v>1.288054</v>
      </c>
      <c r="AR616" s="252">
        <f>_xll.ciqfunctions.udf.CIQAVG("$"&amp;$A616,"IQ_LASTSALEPRICE",AR$612,AR$613)</f>
        <v>1.280627</v>
      </c>
      <c r="AS616" s="252">
        <f>_xll.ciqfunctions.udf.CIQAVG("$"&amp;$A616,"IQ_LASTSALEPRICE",AS$612,AS$613)</f>
        <v>1.240966</v>
      </c>
      <c r="AT616" s="252">
        <f>_xll.ciqfunctions.udf.CIQAVG("$"&amp;$A616,"IQ_LASTSALEPRICE",AT$612,AT$613)</f>
        <v>1.291714</v>
      </c>
      <c r="AU616" s="252">
        <f>_xll.ciqfunctions.udf.CIQAVG("$"&amp;$A616,"IQ_LASTSALEPRICE",AU$612,AU$613)</f>
        <v>1.3210660000000001</v>
      </c>
      <c r="AV616" s="252">
        <f>_xll.ciqfunctions.udf.CIQAVG("$"&amp;$A616,"IQ_LASTSALEPRICE",AV$612,AV$613)</f>
        <v>1.37856</v>
      </c>
      <c r="AW616" s="252">
        <f>_xll.ciqfunctions.udf.CIQAVG("$"&amp;$A616,"IQ_LASTSALEPRICE",AW$612,AW$613)</f>
        <v>1.3975979999999999</v>
      </c>
      <c r="AX616" s="252">
        <f>_xll.ciqfunctions.udf.CIQAVG("$"&amp;$A616,"IQ_LASTSALEPRICE",AX$612,AX$613)</f>
        <v>1.3783209999999999</v>
      </c>
      <c r="AY616" s="252">
        <f>_xll.ciqfunctions.udf.CIQAVG("$"&amp;$A616,"IQ_LASTSALEPRICE",AY$612,AY$613)</f>
        <v>1.3480540000000001</v>
      </c>
      <c r="AZ616" s="252">
        <f>_xll.ciqfunctions.udf.CIQAVG("$"&amp;$A616,"IQ_LASTSALEPRICE",AZ$612,AZ$613)</f>
        <v>1.3418330000000001</v>
      </c>
      <c r="BA616" s="252">
        <f>_xll.ciqfunctions.udf.CIQAVG("$"&amp;$A616,"IQ_LASTSALEPRICE",BA$612,BA$613)</f>
        <v>1.256637</v>
      </c>
      <c r="BB616" s="252">
        <f>_xll.ciqfunctions.udf.CIQAVG("$"&amp;$A616,"IQ_LASTSALEPRICE",BB$612,BB$613)</f>
        <v>1.1776150000000001</v>
      </c>
      <c r="BC616" s="252">
        <f>_xll.ciqfunctions.udf.CIQAVG("$"&amp;$A616,"IQ_LASTSALEPRICE",BC$612,BC$613)</f>
        <v>1.173848</v>
      </c>
      <c r="BD616" s="252">
        <f>_xll.ciqfunctions.udf.CIQAVG("$"&amp;$A616,"IQ_LASTSALEPRICE",BD$612,BD$613)</f>
        <v>1.2143759999999999</v>
      </c>
      <c r="BE616" s="252">
        <f>_xll.ciqfunctions.udf.CIQAVG("$"&amp;$A616,"IQ_LASTSALEPRICE",BE$612,BE$613)</f>
        <v>1.2517320000000001</v>
      </c>
      <c r="BF616" s="252">
        <f>_xll.ciqfunctions.udf.CIQAVG("$"&amp;$A616,"IQ_LASTSALEPRICE",BF$612,BF$613)</f>
        <v>1.266176</v>
      </c>
      <c r="BG616" s="252">
        <f>_xll.ciqfunctions.udf.CIQAVG("$"&amp;$A616,"IQ_LASTSALEPRICE",BG$612,BG$613)</f>
        <v>1.2419359999999999</v>
      </c>
      <c r="BH616" s="252">
        <f>_xll.ciqfunctions.udf.CIQAVG("$"&amp;$A616,"IQ_LASTSALEPRICE",BH$612,BH$613)</f>
        <v>1.268049</v>
      </c>
      <c r="BI616" s="252">
        <f>_xll.ciqfunctions.udf.CIQAVG("$"&amp;$A616,"IQ_LASTSALEPRICE",BI$612,BI$613)</f>
        <v>1.261501</v>
      </c>
      <c r="BJ616" s="252">
        <f>_xll.ciqfunctions.udf.CIQAVG("$"&amp;$A616,"IQ_LASTSALEPRICE",BJ$612,BJ$613)</f>
        <v>1.3009029999999999</v>
      </c>
      <c r="BK616" s="252">
        <f>_xll.ciqfunctions.udf.CIQAVG("$"&amp;$A616,"IQ_LASTSALEPRICE",BK$612,BK$613)*($CJ$2-BK$612)/(BK$613-BK$612)+_xll.ciqfunctions.udf.CIQ("$"&amp;$A616,"IQ_LASTSALEPRICE",$CJ$2)*(1-($CJ$2-BK$612)/(BK$613-BK$612))</f>
        <v>1.281166</v>
      </c>
      <c r="BL616" s="252">
        <f>_xll.ciqfunctions.udf.CIQ("$"&amp;$A616,"IQ_LASTSALEPRICE",$CJ$2)</f>
        <v>1.251925</v>
      </c>
      <c r="BM616" s="252">
        <f>_xll.ciqfunctions.udf.CIQ("$"&amp;$A616,"IQ_LASTSALEPRICE",$CJ$2)</f>
        <v>1.251925</v>
      </c>
      <c r="BN616" s="252">
        <f>_xll.ciqfunctions.udf.CIQ("$"&amp;$A616,"IQ_LASTSALEPRICE",$CJ$2)</f>
        <v>1.251925</v>
      </c>
      <c r="BO616" s="252">
        <f>_xll.ciqfunctions.udf.CIQ("$"&amp;$A616,"IQ_LASTSALEPRICE",$CJ$2)</f>
        <v>1.251925</v>
      </c>
      <c r="BU616" s="252">
        <f>_xll.ciqfunctions.udf.CIQAVG("$"&amp;$A616,"IQ_LASTSALEPRICE",BU$612,BU$613)</f>
        <v>1.6040559999999999</v>
      </c>
      <c r="BV616" s="252">
        <f>_xll.ciqfunctions.udf.CIQAVG("$"&amp;$A616,"IQ_LASTSALEPRICE",BV$612,BV$613)</f>
        <v>1.584794</v>
      </c>
      <c r="BW616" s="252">
        <f>_xll.ciqfunctions.udf.CIQAVG("$"&amp;$A616,"IQ_LASTSALEPRICE",BW$612,BW$613)</f>
        <v>1.5645290000000001</v>
      </c>
      <c r="BX616" s="252">
        <f>_xll.ciqfunctions.udf.CIQAVG("$"&amp;$A616,"IQ_LASTSALEPRICE",BX$612,BX$613)</f>
        <v>1.6473960000000001</v>
      </c>
      <c r="BY616" s="252">
        <f>_xll.ciqfunctions.udf.CIQAVG("$"&amp;$A616,"IQ_LASTSALEPRICE",BY$612,BY$613)</f>
        <v>1.5284199999999999</v>
      </c>
      <c r="BZ616" s="252">
        <f>_xll.ciqfunctions.udf.CIQAVG("$"&amp;$A616,"IQ_LASTSALEPRICE",BZ$612,BZ$613)</f>
        <v>1.3550279999999999</v>
      </c>
      <c r="CA616" s="252">
        <f>_xll.ciqfunctions.udf.CIQAVG("$"&amp;$A616,"IQ_LASTSALEPRICE",CA$612,CA$613)</f>
        <v>1.288729</v>
      </c>
      <c r="CB616" s="252">
        <f>_xll.ciqfunctions.udf.CIQAVG("$"&amp;$A616,"IQ_LASTSALEPRICE",CB$612,CB$613)</f>
        <v>1.3349569999999999</v>
      </c>
      <c r="CC616" s="252">
        <f>_xll.ciqfunctions.udf.CIQAVG("$"&amp;$A616,"IQ_LASTSALEPRICE",CC$612,CC$613)</f>
        <v>1.276894</v>
      </c>
      <c r="CD616" s="252">
        <f>_xll.ciqfunctions.udf.CIQAVG("$"&amp;$A616,"IQ_LASTSALEPRICE",CD$612,CD$613)</f>
        <v>1.2837179999999999</v>
      </c>
      <c r="CE616" s="252">
        <f>_xll.ciqfunctions.udf.CIQAVG("$"&amp;$A616,"IQ_LASTSALEPRICE",CE$612,CE$613)</f>
        <v>1.3755569999999999</v>
      </c>
      <c r="CF616" s="252">
        <f>_xll.ciqfunctions.udf.CIQAVG("$"&amp;$A616,"IQ_LASTSALEPRICE",CF$612,CF$613)</f>
        <v>1.2368589999999999</v>
      </c>
      <c r="CG616" s="252">
        <f>_xll.ciqfunctions.udf.CIQAVG("$"&amp;$A616,"IQ_LASTSALEPRICE",CG$612,CG$613)</f>
        <v>1.243692</v>
      </c>
      <c r="CH616" s="184">
        <f t="shared" ref="CH616:CH621" si="994">+AVERAGE(BH616:BK616)</f>
        <v>1.27790475</v>
      </c>
      <c r="CI616" s="184">
        <f>+AVERAGE(BL616:BO616)</f>
        <v>1.251925</v>
      </c>
      <c r="CL616" s="247">
        <v>1.27895</v>
      </c>
    </row>
    <row r="617" spans="1:91" s="76" customFormat="1" x14ac:dyDescent="0.2">
      <c r="A617" s="76" t="s">
        <v>226</v>
      </c>
      <c r="B617" t="s">
        <v>227</v>
      </c>
      <c r="D617" s="252">
        <f>_xll.ciqfunctions.udf.CIQAVG("$"&amp;$A617,"IQ_LASTSALEPRICE",D$612,D$613)</f>
        <v>1.3834249999999999</v>
      </c>
      <c r="E617" s="252">
        <f>_xll.ciqfunctions.udf.CIQAVG("$"&amp;$A617,"IQ_LASTSALEPRICE",E$612,E$613)</f>
        <v>1.273714</v>
      </c>
      <c r="F617" s="252">
        <f>_xll.ciqfunctions.udf.CIQAVG("$"&amp;$A617,"IQ_LASTSALEPRICE",F$612,F$613)</f>
        <v>1.2920959999999999</v>
      </c>
      <c r="G617" s="252">
        <f>_xll.ciqfunctions.udf.CIQAVG("$"&amp;$A617,"IQ_LASTSALEPRICE",G$612,G$613)</f>
        <v>1.3588709999999999</v>
      </c>
      <c r="H617" s="252">
        <f>_xll.ciqfunctions.udf.CIQAVG("$"&amp;$A617,"IQ_LASTSALEPRICE",H$612,H$613)</f>
        <v>1.3680600000000001</v>
      </c>
      <c r="I617" s="252">
        <f>_xll.ciqfunctions.udf.CIQAVG("$"&amp;$A617,"IQ_LASTSALEPRICE",I$612,I$613)</f>
        <v>1.439244</v>
      </c>
      <c r="J617" s="252">
        <f>_xll.ciqfunctions.udf.CIQAVG("$"&amp;$A617,"IQ_LASTSALEPRICE",J$612,J$613)</f>
        <v>1.4136899999999999</v>
      </c>
      <c r="K617" s="252">
        <f>_xll.ciqfunctions.udf.CIQAVG("$"&amp;$A617,"IQ_LASTSALEPRICE",K$612,K$613)</f>
        <v>1.348463</v>
      </c>
      <c r="L617" s="252">
        <f>_xll.ciqfunctions.udf.CIQAVG("$"&amp;$A617,"IQ_LASTSALEPRICE",L$612,L$613)</f>
        <v>1.3109219999999999</v>
      </c>
      <c r="M617" s="252">
        <f>_xll.ciqfunctions.udf.CIQAVG("$"&amp;$A617,"IQ_LASTSALEPRICE",M$612,M$613)</f>
        <v>1.283382</v>
      </c>
      <c r="N617" s="252">
        <f>_xll.ciqfunctions.udf.CIQAVG("$"&amp;$A617,"IQ_LASTSALEPRICE",N$612,N$613)</f>
        <v>1.2517450000000001</v>
      </c>
      <c r="O617" s="252">
        <f>_xll.ciqfunctions.udf.CIQAVG("$"&amp;$A617,"IQ_LASTSALEPRICE",O$612,O$613)</f>
        <v>1.297399</v>
      </c>
      <c r="P617" s="252">
        <f>_xll.ciqfunctions.udf.CIQAVG("$"&amp;$A617,"IQ_LASTSALEPRICE",P$612,P$613)</f>
        <v>1.319947</v>
      </c>
      <c r="Q617" s="252">
        <f>_xll.ciqfunctions.udf.CIQAVG("$"&amp;$A617,"IQ_LASTSALEPRICE",Q$612,Q$613)</f>
        <v>1.305758</v>
      </c>
      <c r="R617" s="252">
        <f>_xll.ciqfunctions.udf.CIQAVG("$"&amp;$A617,"IQ_LASTSALEPRICE",R$612,R$613)</f>
        <v>1.3249409999999999</v>
      </c>
      <c r="S617" s="252">
        <f>_xll.ciqfunctions.udf.CIQAVG("$"&amp;$A617,"IQ_LASTSALEPRICE",S$612,S$613)</f>
        <v>1.3615189999999999</v>
      </c>
      <c r="T617" s="252">
        <f>_xll.ciqfunctions.udf.CIQAVG("$"&amp;$A617,"IQ_LASTSALEPRICE",T$612,T$613)</f>
        <v>1.370479</v>
      </c>
      <c r="U617" s="252">
        <f>_xll.ciqfunctions.udf.CIQAVG("$"&amp;$A617,"IQ_LASTSALEPRICE",U$612,U$613)</f>
        <v>1.3714090000000001</v>
      </c>
      <c r="V617" s="252">
        <f>_xll.ciqfunctions.udf.CIQAVG("$"&amp;$A617,"IQ_LASTSALEPRICE",V$612,V$613)</f>
        <v>1.325169</v>
      </c>
      <c r="W617" s="252">
        <f>_xll.ciqfunctions.udf.CIQAVG("$"&amp;$A617,"IQ_LASTSALEPRICE",W$612,W$613)</f>
        <v>1.248224</v>
      </c>
      <c r="X617" s="252">
        <f>_xll.ciqfunctions.udf.CIQAVG("$"&amp;$A617,"IQ_LASTSALEPRICE",X$612,X$613)</f>
        <v>1.1266259999999999</v>
      </c>
      <c r="Y617" s="252">
        <f>_xll.ciqfunctions.udf.CIQAVG("$"&amp;$A617,"IQ_LASTSALEPRICE",Y$612,Y$613)</f>
        <v>1.1069249999999999</v>
      </c>
      <c r="Z617" s="252">
        <f>_xll.ciqfunctions.udf.CIQAVG("$"&amp;$A617,"IQ_LASTSALEPRICE",Z$612,Z$613)</f>
        <v>1.112476</v>
      </c>
      <c r="AA617" s="252">
        <f>_xll.ciqfunctions.udf.CIQAVG("$"&amp;$A617,"IQ_LASTSALEPRICE",AA$612,AA$613)</f>
        <v>1.0953200000000001</v>
      </c>
      <c r="AB617" s="252">
        <f>_xll.ciqfunctions.udf.CIQAVG("$"&amp;$A617,"IQ_LASTSALEPRICE",AB$612,AB$613)</f>
        <v>1.1029599999999999</v>
      </c>
      <c r="AC617" s="252">
        <f>_xll.ciqfunctions.udf.CIQAVG("$"&amp;$A617,"IQ_LASTSALEPRICE",AC$612,AC$613)</f>
        <v>1.1293260000000001</v>
      </c>
      <c r="AD617" s="252">
        <f>_xll.ciqfunctions.udf.CIQAVG("$"&amp;$A617,"IQ_LASTSALEPRICE",AD$612,AD$613)</f>
        <v>1.1160110000000001</v>
      </c>
      <c r="AE617" s="252">
        <f>_xll.ciqfunctions.udf.CIQAVG("$"&amp;$A617,"IQ_LASTSALEPRICE",AE$612,AE$613)</f>
        <v>1.0783050000000001</v>
      </c>
      <c r="AF617" s="252">
        <f>_xll.ciqfunctions.udf.CIQAVG("$"&amp;$A617,"IQ_LASTSALEPRICE",AF$612,AF$613)</f>
        <v>1.0655809999999999</v>
      </c>
      <c r="AG617" s="252">
        <f>_xll.ciqfunctions.udf.CIQAVG("$"&amp;$A617,"IQ_LASTSALEPRICE",AG$612,AG$613)</f>
        <v>1.100144</v>
      </c>
      <c r="AH617" s="252">
        <f>_xll.ciqfunctions.udf.CIQAVG("$"&amp;$A617,"IQ_LASTSALEPRICE",AH$612,AH$613)</f>
        <v>1.174865</v>
      </c>
      <c r="AI617" s="252">
        <f>_xll.ciqfunctions.udf.CIQAVG("$"&amp;$A617,"IQ_LASTSALEPRICE",AI$612,AI$613)</f>
        <v>1.1780930000000001</v>
      </c>
      <c r="AJ617" s="252">
        <f>_xll.ciqfunctions.udf.CIQAVG("$"&amp;$A617,"IQ_LASTSALEPRICE",AJ$612,AJ$613)</f>
        <v>1.2289209999999999</v>
      </c>
      <c r="AK617" s="252">
        <f>_xll.ciqfunctions.udf.CIQAVG("$"&amp;$A617,"IQ_LASTSALEPRICE",AK$612,AK$613)</f>
        <v>1.1917070000000001</v>
      </c>
      <c r="AL617" s="252">
        <f>_xll.ciqfunctions.udf.CIQAVG("$"&amp;$A617,"IQ_LASTSALEPRICE",AL$612,AL$613)</f>
        <v>1.162774</v>
      </c>
      <c r="AM617" s="252">
        <f>_xll.ciqfunctions.udf.CIQAVG("$"&amp;$A617,"IQ_LASTSALEPRICE",AM$612,AM$613)</f>
        <v>1.1409830000000001</v>
      </c>
      <c r="AN617" s="252">
        <f>_xll.ciqfunctions.udf.CIQAVG("$"&amp;$A617,"IQ_LASTSALEPRICE",AN$612,AN$613)</f>
        <v>1.135526</v>
      </c>
      <c r="AO617" s="252">
        <f>_xll.ciqfunctions.udf.CIQAVG("$"&amp;$A617,"IQ_LASTSALEPRICE",AO$612,AO$613)</f>
        <v>1.123834</v>
      </c>
      <c r="AP617" s="252">
        <f>_xll.ciqfunctions.udf.CIQAVG("$"&amp;$A617,"IQ_LASTSALEPRICE",AP$612,AP$613)</f>
        <v>1.111772</v>
      </c>
      <c r="AQ617" s="252">
        <f>_xll.ciqfunctions.udf.CIQAVG("$"&amp;$A617,"IQ_LASTSALEPRICE",AQ$612,AQ$613)</f>
        <v>1.1073040000000001</v>
      </c>
      <c r="AR617" s="252">
        <f>_xll.ciqfunctions.udf.CIQAVG("$"&amp;$A617,"IQ_LASTSALEPRICE",AR$612,AR$613)</f>
        <v>1.1023259999999999</v>
      </c>
      <c r="AS617" s="252">
        <f>_xll.ciqfunctions.udf.CIQAVG("$"&amp;$A617,"IQ_LASTSALEPRICE",AS$612,AS$613)</f>
        <v>1.1012489999999999</v>
      </c>
      <c r="AT617" s="252">
        <f>_xll.ciqfunctions.udf.CIQAVG("$"&amp;$A617,"IQ_LASTSALEPRICE",AT$612,AT$613)</f>
        <v>1.1689309999999999</v>
      </c>
      <c r="AU617" s="252">
        <f>_xll.ciqfunctions.udf.CIQAVG("$"&amp;$A617,"IQ_LASTSALEPRICE",AU$612,AU$613)</f>
        <v>1.1926270000000001</v>
      </c>
      <c r="AV617" s="252">
        <f>_xll.ciqfunctions.udf.CIQAVG("$"&amp;$A617,"IQ_LASTSALEPRICE",AV$612,AV$613)</f>
        <v>1.2052579999999999</v>
      </c>
      <c r="AW617" s="252">
        <f>_xll.ciqfunctions.udf.CIQAVG("$"&amp;$A617,"IQ_LASTSALEPRICE",AW$612,AW$613)</f>
        <v>1.2047159999999999</v>
      </c>
      <c r="AX617" s="252">
        <f>_xll.ciqfunctions.udf.CIQAVG("$"&amp;$A617,"IQ_LASTSALEPRICE",AX$612,AX$613)</f>
        <v>1.178931</v>
      </c>
      <c r="AY617" s="252">
        <f>_xll.ciqfunctions.udf.CIQAVG("$"&amp;$A617,"IQ_LASTSALEPRICE",AY$612,AY$613)</f>
        <v>1.1436310000000001</v>
      </c>
      <c r="AZ617" s="252">
        <f>_xll.ciqfunctions.udf.CIQAVG("$"&amp;$A617,"IQ_LASTSALEPRICE",AZ$612,AZ$613)</f>
        <v>1.122368</v>
      </c>
      <c r="BA617" s="252">
        <f>_xll.ciqfunctions.udf.CIQAVG("$"&amp;$A617,"IQ_LASTSALEPRICE",BA$612,BA$613)</f>
        <v>1.0650839999999999</v>
      </c>
      <c r="BB617" s="252">
        <f>_xll.ciqfunctions.udf.CIQAVG("$"&amp;$A617,"IQ_LASTSALEPRICE",BB$612,BB$613)</f>
        <v>1.0079750000000001</v>
      </c>
      <c r="BC617" s="252">
        <f>_xll.ciqfunctions.udf.CIQAVG("$"&amp;$A617,"IQ_LASTSALEPRICE",BC$612,BC$613)</f>
        <v>1.021307</v>
      </c>
      <c r="BD617" s="252">
        <f>_xll.ciqfunctions.udf.CIQAVG("$"&amp;$A617,"IQ_LASTSALEPRICE",BD$612,BD$613)</f>
        <v>1.0724499999999999</v>
      </c>
      <c r="BE617" s="252">
        <f>_xll.ciqfunctions.udf.CIQAVG("$"&amp;$A617,"IQ_LASTSALEPRICE",BE$612,BE$613)</f>
        <v>1.088495</v>
      </c>
      <c r="BF617" s="252">
        <f>_xll.ciqfunctions.udf.CIQAVG("$"&amp;$A617,"IQ_LASTSALEPRICE",BF$612,BF$613)</f>
        <v>1.088457</v>
      </c>
      <c r="BG617" s="252">
        <f>_xll.ciqfunctions.udf.CIQAVG("$"&amp;$A617,"IQ_LASTSALEPRICE",BG$612,BG$613)</f>
        <v>1.076381</v>
      </c>
      <c r="BH617" s="252">
        <f>_xll.ciqfunctions.udf.CIQAVG("$"&amp;$A617,"IQ_LASTSALEPRICE",BH$612,BH$613)</f>
        <v>1.0855840000000001</v>
      </c>
      <c r="BI617" s="252">
        <f>_xll.ciqfunctions.udf.CIQAVG("$"&amp;$A617,"IQ_LASTSALEPRICE",BI$612,BI$613)</f>
        <v>1.076336</v>
      </c>
      <c r="BJ617" s="252">
        <f>_xll.ciqfunctions.udf.CIQAVG("$"&amp;$A617,"IQ_LASTSALEPRICE",BJ$612,BJ$613)</f>
        <v>1.099081</v>
      </c>
      <c r="BK617" s="252">
        <f>_xll.ciqfunctions.udf.CIQAVG("$"&amp;$A617,"IQ_LASTSALEPRICE",BK$612,BK$613)*($CJ$2-BK$612)/(BK$613-BK$612)+_xll.ciqfunctions.udf.CIQ("$"&amp;$A617,"IQ_LASTSALEPRICE",$CJ$2)*(1-($CJ$2-BK$612)/(BK$613-BK$612))</f>
        <v>1.0664130000000001</v>
      </c>
      <c r="BL617" s="252">
        <f>_xll.ciqfunctions.udf.CIQ("$"&amp;$A617,"IQ_LASTSALEPRICE",$CJ$2)</f>
        <v>1.035304</v>
      </c>
      <c r="BM617" s="252">
        <f>_xll.ciqfunctions.udf.CIQ("$"&amp;$A617,"IQ_LASTSALEPRICE",$CJ$2)</f>
        <v>1.035304</v>
      </c>
      <c r="BN617" s="252">
        <f>_xll.ciqfunctions.udf.CIQ("$"&amp;$A617,"IQ_LASTSALEPRICE",$CJ$2)</f>
        <v>1.035304</v>
      </c>
      <c r="BO617" s="252">
        <f>_xll.ciqfunctions.udf.CIQ("$"&amp;$A617,"IQ_LASTSALEPRICE",$CJ$2)</f>
        <v>1.035304</v>
      </c>
      <c r="BU617" s="252">
        <f>_xll.ciqfunctions.udf.CIQAVG("$"&amp;$A617,"IQ_LASTSALEPRICE",BU$612,BU$613)</f>
        <v>1.392369</v>
      </c>
      <c r="BV617" s="252">
        <f>_xll.ciqfunctions.udf.CIQAVG("$"&amp;$A617,"IQ_LASTSALEPRICE",BV$612,BV$613)</f>
        <v>1.2858000000000001</v>
      </c>
      <c r="BW617" s="252">
        <f>_xll.ciqfunctions.udf.CIQAVG("$"&amp;$A617,"IQ_LASTSALEPRICE",BW$612,BW$613)</f>
        <v>1.328147</v>
      </c>
      <c r="BX617" s="252">
        <f>_xll.ciqfunctions.udf.CIQAVG("$"&amp;$A617,"IQ_LASTSALEPRICE",BX$612,BX$613)</f>
        <v>1.3284750000000001</v>
      </c>
      <c r="BY617" s="252">
        <f>_xll.ciqfunctions.udf.CIQAVG("$"&amp;$A617,"IQ_LASTSALEPRICE",BY$612,BY$613)</f>
        <v>1.110257</v>
      </c>
      <c r="BZ617" s="252">
        <f>_xll.ciqfunctions.udf.CIQAVG("$"&amp;$A617,"IQ_LASTSALEPRICE",BZ$612,BZ$613)</f>
        <v>1.1065990000000001</v>
      </c>
      <c r="CA617" s="252">
        <f>_xll.ciqfunctions.udf.CIQAVG("$"&amp;$A617,"IQ_LASTSALEPRICE",CA$612,CA$613)</f>
        <v>1.1301030000000001</v>
      </c>
      <c r="CB617" s="252">
        <f>_xll.ciqfunctions.udf.CIQAVG("$"&amp;$A617,"IQ_LASTSALEPRICE",CB$612,CB$613)</f>
        <v>1.1808050000000001</v>
      </c>
      <c r="CC617" s="252">
        <f>_xll.ciqfunctions.udf.CIQAVG("$"&amp;$A617,"IQ_LASTSALEPRICE",CC$612,CC$613)</f>
        <v>1.11951</v>
      </c>
      <c r="CD617" s="252">
        <f>_xll.ciqfunctions.udf.CIQAVG("$"&amp;$A617,"IQ_LASTSALEPRICE",CD$612,CD$613)</f>
        <v>1.141499</v>
      </c>
      <c r="CE617" s="252">
        <f>_xll.ciqfunctions.udf.CIQAVG("$"&amp;$A617,"IQ_LASTSALEPRICE",CE$612,CE$613)</f>
        <v>1.1829540000000001</v>
      </c>
      <c r="CF617" s="252">
        <f>_xll.ciqfunctions.udf.CIQAVG("$"&amp;$A617,"IQ_LASTSALEPRICE",CF$612,CF$613)</f>
        <v>1.0537799999999999</v>
      </c>
      <c r="CG617" s="252">
        <f>_xll.ciqfunctions.udf.CIQAVG("$"&amp;$A617,"IQ_LASTSALEPRICE",CG$612,CG$613)</f>
        <v>1.0814760000000001</v>
      </c>
      <c r="CH617" s="184">
        <f t="shared" si="994"/>
        <v>1.0818535</v>
      </c>
      <c r="CI617" s="184">
        <f t="shared" ref="CI617:CI621" si="995">+AVERAGE(BL617:BO617)</f>
        <v>1.035304</v>
      </c>
    </row>
    <row r="618" spans="1:91" s="76" customFormat="1" x14ac:dyDescent="0.2">
      <c r="A618" s="76" t="s">
        <v>228</v>
      </c>
      <c r="B618" t="s">
        <v>229</v>
      </c>
      <c r="D618" s="252">
        <f>_xll.ciqfunctions.udf.CIQAVG("$"&amp;$A618,"IQ_LASTSALEPRICE",D$612,D$613)</f>
        <v>1.1018999999999999E-2</v>
      </c>
      <c r="E618" s="252">
        <f>_xll.ciqfunctions.udf.CIQAVG("$"&amp;$A618,"IQ_LASTSALEPRICE",E$612,E$613)</f>
        <v>1.0866000000000001E-2</v>
      </c>
      <c r="F618" s="252">
        <f>_xll.ciqfunctions.udf.CIQAVG("$"&amp;$A618,"IQ_LASTSALEPRICE",F$612,F$613)</f>
        <v>1.1656E-2</v>
      </c>
      <c r="G618" s="252">
        <f>_xll.ciqfunctions.udf.CIQAVG("$"&amp;$A618,"IQ_LASTSALEPRICE",G$612,G$613)</f>
        <v>1.2116999999999999E-2</v>
      </c>
      <c r="H618" s="252">
        <f>_xll.ciqfunctions.udf.CIQAVG("$"&amp;$A618,"IQ_LASTSALEPRICE",H$612,H$613)</f>
        <v>1.2156999999999999E-2</v>
      </c>
      <c r="I618" s="252">
        <f>_xll.ciqfunctions.udf.CIQAVG("$"&amp;$A618,"IQ_LASTSALEPRICE",I$612,I$613)</f>
        <v>1.2265E-2</v>
      </c>
      <c r="J618" s="252">
        <f>_xll.ciqfunctions.udf.CIQAVG("$"&amp;$A618,"IQ_LASTSALEPRICE",J$612,J$613)</f>
        <v>1.2872E-2</v>
      </c>
      <c r="K618" s="252">
        <f>_xll.ciqfunctions.udf.CIQAVG("$"&amp;$A618,"IQ_LASTSALEPRICE",K$612,K$613)</f>
        <v>1.2936E-2</v>
      </c>
      <c r="L618" s="252">
        <f>_xll.ciqfunctions.udf.CIQAVG("$"&amp;$A618,"IQ_LASTSALEPRICE",L$612,L$613)</f>
        <v>1.2618000000000001E-2</v>
      </c>
      <c r="M618" s="252">
        <f>_xll.ciqfunctions.udf.CIQAVG("$"&amp;$A618,"IQ_LASTSALEPRICE",M$612,M$613)</f>
        <v>1.2489999999999999E-2</v>
      </c>
      <c r="N618" s="252">
        <f>_xll.ciqfunctions.udf.CIQAVG("$"&amp;$A618,"IQ_LASTSALEPRICE",N$612,N$613)</f>
        <v>1.2718999999999999E-2</v>
      </c>
      <c r="O618" s="252">
        <f>_xll.ciqfunctions.udf.CIQAVG("$"&amp;$A618,"IQ_LASTSALEPRICE",O$612,O$613)</f>
        <v>1.2315E-2</v>
      </c>
      <c r="P618" s="252">
        <f>_xll.ciqfunctions.udf.CIQAVG("$"&amp;$A618,"IQ_LASTSALEPRICE",P$612,P$613)</f>
        <v>1.0843999999999999E-2</v>
      </c>
      <c r="Q618" s="252">
        <f>_xll.ciqfunctions.udf.CIQAVG("$"&amp;$A618,"IQ_LASTSALEPRICE",Q$612,Q$613)</f>
        <v>1.0122000000000001E-2</v>
      </c>
      <c r="R618" s="252">
        <f>_xll.ciqfunctions.udf.CIQAVG("$"&amp;$A618,"IQ_LASTSALEPRICE",R$612,R$613)</f>
        <v>1.0115000000000001E-2</v>
      </c>
      <c r="S618" s="252">
        <f>_xll.ciqfunctions.udf.CIQAVG("$"&amp;$A618,"IQ_LASTSALEPRICE",S$612,S$613)</f>
        <v>9.9590000000000008E-3</v>
      </c>
      <c r="T618" s="252">
        <f>_xll.ciqfunctions.udf.CIQAVG("$"&amp;$A618,"IQ_LASTSALEPRICE",T$612,T$613)</f>
        <v>9.7289999999999998E-3</v>
      </c>
      <c r="U618" s="252">
        <f>_xll.ciqfunctions.udf.CIQAVG("$"&amp;$A618,"IQ_LASTSALEPRICE",U$612,U$613)</f>
        <v>9.7959999999999992E-3</v>
      </c>
      <c r="V618" s="252">
        <f>_xll.ciqfunctions.udf.CIQAVG("$"&amp;$A618,"IQ_LASTSALEPRICE",V$612,V$613)</f>
        <v>9.6240000000000006E-3</v>
      </c>
      <c r="W618" s="252">
        <f>_xll.ciqfunctions.udf.CIQAVG("$"&amp;$A618,"IQ_LASTSALEPRICE",W$612,W$613)</f>
        <v>8.744E-3</v>
      </c>
      <c r="X618" s="252">
        <f>_xll.ciqfunctions.udf.CIQAVG("$"&amp;$A618,"IQ_LASTSALEPRICE",X$612,X$613)</f>
        <v>8.3929999999999994E-3</v>
      </c>
      <c r="Y618" s="252">
        <f>_xll.ciqfunctions.udf.CIQAVG("$"&amp;$A618,"IQ_LASTSALEPRICE",Y$612,Y$613)</f>
        <v>8.2419999999999993E-3</v>
      </c>
      <c r="Z618" s="252">
        <f>_xll.ciqfunctions.udf.CIQAVG("$"&amp;$A618,"IQ_LASTSALEPRICE",Z$612,Z$613)</f>
        <v>8.1880000000000008E-3</v>
      </c>
      <c r="AA618" s="252">
        <f>_xll.ciqfunctions.udf.CIQAVG("$"&amp;$A618,"IQ_LASTSALEPRICE",AA$612,AA$613)</f>
        <v>8.2369999999999995E-3</v>
      </c>
      <c r="AB618" s="252">
        <f>_xll.ciqfunctions.udf.CIQAVG("$"&amp;$A618,"IQ_LASTSALEPRICE",AB$612,AB$613)</f>
        <v>8.6750000000000004E-3</v>
      </c>
      <c r="AC618" s="252">
        <f>_xll.ciqfunctions.udf.CIQAVG("$"&amp;$A618,"IQ_LASTSALEPRICE",AC$612,AC$613)</f>
        <v>9.2669999999999992E-3</v>
      </c>
      <c r="AD618" s="252">
        <f>_xll.ciqfunctions.udf.CIQAVG("$"&amp;$A618,"IQ_LASTSALEPRICE",AD$612,AD$613)</f>
        <v>9.7699999999999992E-3</v>
      </c>
      <c r="AE618" s="252">
        <f>_xll.ciqfunctions.udf.CIQAVG("$"&amp;$A618,"IQ_LASTSALEPRICE",AE$612,AE$613)</f>
        <v>9.1579999999999995E-3</v>
      </c>
      <c r="AF618" s="252">
        <f>_xll.ciqfunctions.udf.CIQAVG("$"&amp;$A618,"IQ_LASTSALEPRICE",AF$612,AF$613)</f>
        <v>8.796E-3</v>
      </c>
      <c r="AG618" s="252">
        <f>_xll.ciqfunctions.udf.CIQAVG("$"&amp;$A618,"IQ_LASTSALEPRICE",AG$612,AG$613)</f>
        <v>9.0039999999999999E-3</v>
      </c>
      <c r="AH618" s="252">
        <f>_xll.ciqfunctions.udf.CIQAVG("$"&amp;$A618,"IQ_LASTSALEPRICE",AH$612,AH$613)</f>
        <v>9.0170000000000007E-3</v>
      </c>
      <c r="AI618" s="252">
        <f>_xll.ciqfunctions.udf.CIQAVG("$"&amp;$A618,"IQ_LASTSALEPRICE",AI$612,AI$613)</f>
        <v>8.8599999999999998E-3</v>
      </c>
      <c r="AJ618" s="252">
        <f>_xll.ciqfunctions.udf.CIQAVG("$"&amp;$A618,"IQ_LASTSALEPRICE",AJ$612,AJ$613)</f>
        <v>9.2390000000000007E-3</v>
      </c>
      <c r="AK618" s="252">
        <f>_xll.ciqfunctions.udf.CIQAVG("$"&amp;$A618,"IQ_LASTSALEPRICE",AK$612,AK$613)</f>
        <v>9.1640000000000003E-3</v>
      </c>
      <c r="AL618" s="252">
        <f>_xll.ciqfunctions.udf.CIQAVG("$"&amp;$A618,"IQ_LASTSALEPRICE",AL$612,AL$613)</f>
        <v>8.9709999999999998E-3</v>
      </c>
      <c r="AM618" s="252">
        <f>_xll.ciqfunctions.udf.CIQAVG("$"&amp;$A618,"IQ_LASTSALEPRICE",AM$612,AM$613)</f>
        <v>8.8749999999999992E-3</v>
      </c>
      <c r="AN618" s="252">
        <f>_xll.ciqfunctions.udf.CIQAVG("$"&amp;$A618,"IQ_LASTSALEPRICE",AN$612,AN$613)</f>
        <v>9.0799999999999995E-3</v>
      </c>
      <c r="AO618" s="252">
        <f>_xll.ciqfunctions.udf.CIQAVG("$"&amp;$A618,"IQ_LASTSALEPRICE",AO$612,AO$613)</f>
        <v>9.1000000000000004E-3</v>
      </c>
      <c r="AP618" s="252">
        <f>_xll.ciqfunctions.udf.CIQAVG("$"&amp;$A618,"IQ_LASTSALEPRICE",AP$612,AP$613)</f>
        <v>9.3200000000000002E-3</v>
      </c>
      <c r="AQ618" s="252">
        <f>_xll.ciqfunctions.udf.CIQAVG("$"&amp;$A618,"IQ_LASTSALEPRICE",AQ$612,AQ$613)</f>
        <v>9.1979999999999996E-3</v>
      </c>
      <c r="AR618" s="252">
        <f>_xll.ciqfunctions.udf.CIQAVG("$"&amp;$A618,"IQ_LASTSALEPRICE",AR$612,AR$613)</f>
        <v>9.1780000000000004E-3</v>
      </c>
      <c r="AS618" s="252">
        <f>_xll.ciqfunctions.udf.CIQAVG("$"&amp;$A618,"IQ_LASTSALEPRICE",AS$612,AS$613)</f>
        <v>9.2980000000000007E-3</v>
      </c>
      <c r="AT618" s="252">
        <f>_xll.ciqfunctions.udf.CIQAVG("$"&amp;$A618,"IQ_LASTSALEPRICE",AT$612,AT$613)</f>
        <v>9.4240000000000001E-3</v>
      </c>
      <c r="AU618" s="252">
        <f>_xll.ciqfunctions.udf.CIQAVG("$"&amp;$A618,"IQ_LASTSALEPRICE",AU$612,AU$613)</f>
        <v>9.5750000000000002E-3</v>
      </c>
      <c r="AV618" s="252">
        <f>_xll.ciqfunctions.udf.CIQAVG("$"&amp;$A618,"IQ_LASTSALEPRICE",AV$612,AV$613)</f>
        <v>9.4359999999999999E-3</v>
      </c>
      <c r="AW618" s="252">
        <f>_xll.ciqfunctions.udf.CIQAVG("$"&amp;$A618,"IQ_LASTSALEPRICE",AW$612,AW$613)</f>
        <v>9.1369999999999993E-3</v>
      </c>
      <c r="AX618" s="252">
        <f>_xll.ciqfunctions.udf.CIQAVG("$"&amp;$A618,"IQ_LASTSALEPRICE",AX$612,AX$613)</f>
        <v>9.0830000000000008E-3</v>
      </c>
      <c r="AY618" s="252">
        <f>_xll.ciqfunctions.udf.CIQAVG("$"&amp;$A618,"IQ_LASTSALEPRICE",AY$612,AY$613)</f>
        <v>8.8020000000000008E-3</v>
      </c>
      <c r="AZ618" s="252">
        <f>_xll.ciqfunctions.udf.CIQAVG("$"&amp;$A618,"IQ_LASTSALEPRICE",AZ$612,AZ$613)</f>
        <v>8.6070000000000001E-3</v>
      </c>
      <c r="BA618" s="252">
        <f>_xll.ciqfunctions.udf.CIQAVG("$"&amp;$A618,"IQ_LASTSALEPRICE",BA$612,BA$613)</f>
        <v>7.7190000000000002E-3</v>
      </c>
      <c r="BB618" s="252">
        <f>_xll.ciqfunctions.udf.CIQAVG("$"&amp;$A618,"IQ_LASTSALEPRICE",BB$612,BB$613)</f>
        <v>7.2420000000000002E-3</v>
      </c>
      <c r="BC618" s="252">
        <f>_xll.ciqfunctions.udf.CIQAVG("$"&amp;$A618,"IQ_LASTSALEPRICE",BC$612,BC$613)</f>
        <v>7.0910000000000001E-3</v>
      </c>
      <c r="BD618" s="252">
        <f>_xll.ciqfunctions.udf.CIQAVG("$"&amp;$A618,"IQ_LASTSALEPRICE",BD$612,BD$613)</f>
        <v>7.5589999999999997E-3</v>
      </c>
      <c r="BE618" s="252">
        <f>_xll.ciqfunctions.udf.CIQAVG("$"&amp;$A618,"IQ_LASTSALEPRICE",BE$612,BE$613)</f>
        <v>7.2859999999999999E-3</v>
      </c>
      <c r="BF618" s="252">
        <f>_xll.ciqfunctions.udf.CIQAVG("$"&amp;$A618,"IQ_LASTSALEPRICE",BF$612,BF$613)</f>
        <v>6.9220000000000002E-3</v>
      </c>
      <c r="BG618" s="252">
        <f>_xll.ciqfunctions.udf.CIQAVG("$"&amp;$A618,"IQ_LASTSALEPRICE",BG$612,BG$613)</f>
        <v>6.7739999999999996E-3</v>
      </c>
      <c r="BH618" s="252">
        <f>_xll.ciqfunctions.udf.CIQAVG("$"&amp;$A618,"IQ_LASTSALEPRICE",BH$612,BH$613)</f>
        <v>6.7369999999999999E-3</v>
      </c>
      <c r="BI618" s="252">
        <f>_xll.ciqfunctions.udf.CIQAVG("$"&amp;$A618,"IQ_LASTSALEPRICE",BI$612,BI$613)</f>
        <v>6.4159999999999998E-3</v>
      </c>
      <c r="BJ618" s="252">
        <f>_xll.ciqfunctions.udf.CIQAVG("$"&amp;$A618,"IQ_LASTSALEPRICE",BJ$612,BJ$613)</f>
        <v>6.7219999999999997E-3</v>
      </c>
      <c r="BK618" s="252">
        <f>_xll.ciqfunctions.udf.CIQAVG("$"&amp;$A618,"IQ_LASTSALEPRICE",BK$612,BK$613)*($CJ$2-BK$612)/(BK$613-BK$612)+_xll.ciqfunctions.udf.CIQ("$"&amp;$A618,"IQ_LASTSALEPRICE",$CJ$2)*(1-($CJ$2-BK$612)/(BK$613-BK$612))</f>
        <v>6.562000000000001E-3</v>
      </c>
      <c r="BL618" s="252">
        <f>_xll.ciqfunctions.udf.CIQ("$"&amp;$A618,"IQ_LASTSALEPRICE",$CJ$2)</f>
        <v>6.3610000000000003E-3</v>
      </c>
      <c r="BM618" s="252">
        <f>_xll.ciqfunctions.udf.CIQ("$"&amp;$A618,"IQ_LASTSALEPRICE",$CJ$2)</f>
        <v>6.3610000000000003E-3</v>
      </c>
      <c r="BN618" s="252">
        <f>_xll.ciqfunctions.udf.CIQ("$"&amp;$A618,"IQ_LASTSALEPRICE",$CJ$2)</f>
        <v>6.3610000000000003E-3</v>
      </c>
      <c r="BO618" s="252">
        <f>_xll.ciqfunctions.udf.CIQ("$"&amp;$A618,"IQ_LASTSALEPRICE",$CJ$2)</f>
        <v>6.3610000000000003E-3</v>
      </c>
      <c r="BU618" s="252">
        <f>_xll.ciqfunctions.udf.CIQAVG("$"&amp;$A618,"IQ_LASTSALEPRICE",BU$612,BU$613)</f>
        <v>1.2560999999999999E-2</v>
      </c>
      <c r="BV618" s="252">
        <f>_xll.ciqfunctions.udf.CIQAVG("$"&amp;$A618,"IQ_LASTSALEPRICE",BV$612,BV$613)</f>
        <v>1.2536E-2</v>
      </c>
      <c r="BW618" s="252">
        <f>_xll.ciqfunctions.udf.CIQAVG("$"&amp;$A618,"IQ_LASTSALEPRICE",BW$612,BW$613)</f>
        <v>1.0257E-2</v>
      </c>
      <c r="BX618" s="252">
        <f>_xll.ciqfunctions.udf.CIQAVG("$"&amp;$A618,"IQ_LASTSALEPRICE",BX$612,BX$613)</f>
        <v>9.4710000000000003E-3</v>
      </c>
      <c r="BY618" s="252">
        <f>_xll.ciqfunctions.udf.CIQAVG("$"&amp;$A618,"IQ_LASTSALEPRICE",BY$612,BY$613)</f>
        <v>8.2640000000000005E-3</v>
      </c>
      <c r="BZ618" s="252">
        <f>_xll.ciqfunctions.udf.CIQAVG("$"&amp;$A618,"IQ_LASTSALEPRICE",BZ$612,BZ$613)</f>
        <v>9.2189999999999998E-3</v>
      </c>
      <c r="CA618" s="252">
        <f>_xll.ciqfunctions.udf.CIQAVG("$"&amp;$A618,"IQ_LASTSALEPRICE",CA$612,CA$613)</f>
        <v>8.9200000000000008E-3</v>
      </c>
      <c r="CB618" s="252">
        <f>_xll.ciqfunctions.udf.CIQAVG("$"&amp;$A618,"IQ_LASTSALEPRICE",CB$612,CB$613)</f>
        <v>9.0609999999999996E-3</v>
      </c>
      <c r="CC618" s="252">
        <f>_xll.ciqfunctions.udf.CIQAVG("$"&amp;$A618,"IQ_LASTSALEPRICE",CC$612,CC$613)</f>
        <v>9.1750000000000009E-3</v>
      </c>
      <c r="CD618" s="252">
        <f>_xll.ciqfunctions.udf.CIQAVG("$"&amp;$A618,"IQ_LASTSALEPRICE",CD$612,CD$613)</f>
        <v>9.3699999999999999E-3</v>
      </c>
      <c r="CE618" s="252">
        <f>_xll.ciqfunctions.udf.CIQAVG("$"&amp;$A618,"IQ_LASTSALEPRICE",CE$612,CE$613)</f>
        <v>9.1120000000000003E-3</v>
      </c>
      <c r="CF618" s="252">
        <f>_xll.ciqfunctions.udf.CIQAVG("$"&amp;$A618,"IQ_LASTSALEPRICE",CF$612,CF$613)</f>
        <v>7.659E-3</v>
      </c>
      <c r="CG618" s="252">
        <f>_xll.ciqfunctions.udf.CIQAVG("$"&amp;$A618,"IQ_LASTSALEPRICE",CG$612,CG$613)</f>
        <v>7.1329999999999996E-3</v>
      </c>
      <c r="CH618" s="184">
        <f t="shared" si="994"/>
        <v>6.6092500000000005E-3</v>
      </c>
      <c r="CI618" s="184">
        <f t="shared" si="995"/>
        <v>6.3610000000000003E-3</v>
      </c>
    </row>
    <row r="619" spans="1:91" s="76" customFormat="1" x14ac:dyDescent="0.2">
      <c r="A619" s="76" t="s">
        <v>230</v>
      </c>
      <c r="B619" t="s">
        <v>231</v>
      </c>
      <c r="D619" s="252">
        <f>_xll.ciqfunctions.udf.CIQAVG("$"&amp;$A619,"IQ_LASTSALEPRICE",D$612,D$613)</f>
        <v>0.90345399999999998</v>
      </c>
      <c r="E619" s="252">
        <f>_xll.ciqfunctions.udf.CIQAVG("$"&amp;$A619,"IQ_LASTSALEPRICE",E$612,E$613)</f>
        <v>0.88341899999999995</v>
      </c>
      <c r="F619" s="252">
        <f>_xll.ciqfunctions.udf.CIQAVG("$"&amp;$A619,"IQ_LASTSALEPRICE",F$612,F$613)</f>
        <v>0.90414700000000003</v>
      </c>
      <c r="G619" s="252">
        <f>_xll.ciqfunctions.udf.CIQAVG("$"&amp;$A619,"IQ_LASTSALEPRICE",G$612,G$613)</f>
        <v>0.98794000000000004</v>
      </c>
      <c r="H619" s="252">
        <f>_xll.ciqfunctions.udf.CIQAVG("$"&amp;$A619,"IQ_LASTSALEPRICE",H$612,H$613)</f>
        <v>1.0055080000000001</v>
      </c>
      <c r="I619" s="252">
        <f>_xll.ciqfunctions.udf.CIQAVG("$"&amp;$A619,"IQ_LASTSALEPRICE",I$612,I$613)</f>
        <v>1.0628390000000001</v>
      </c>
      <c r="J619" s="252">
        <f>_xll.ciqfunctions.udf.CIQAVG("$"&amp;$A619,"IQ_LASTSALEPRICE",J$612,J$613)</f>
        <v>1.051121</v>
      </c>
      <c r="K619" s="252">
        <f>_xll.ciqfunctions.udf.CIQAVG("$"&amp;$A619,"IQ_LASTSALEPRICE",K$612,K$613)</f>
        <v>1.0132730000000001</v>
      </c>
      <c r="L619" s="252">
        <f>_xll.ciqfunctions.udf.CIQAVG("$"&amp;$A619,"IQ_LASTSALEPRICE",L$612,L$613)</f>
        <v>1.0551680000000001</v>
      </c>
      <c r="M619" s="252">
        <f>_xll.ciqfunctions.udf.CIQAVG("$"&amp;$A619,"IQ_LASTSALEPRICE",M$612,M$613)</f>
        <v>1.009979</v>
      </c>
      <c r="N619" s="252">
        <f>_xll.ciqfunctions.udf.CIQAVG("$"&amp;$A619,"IQ_LASTSALEPRICE",N$612,N$613)</f>
        <v>1.0395319999999999</v>
      </c>
      <c r="O619" s="252">
        <f>_xll.ciqfunctions.udf.CIQAVG("$"&amp;$A619,"IQ_LASTSALEPRICE",O$612,O$613)</f>
        <v>1.0381290000000001</v>
      </c>
      <c r="P619" s="252">
        <f>_xll.ciqfunctions.udf.CIQAVG("$"&amp;$A619,"IQ_LASTSALEPRICE",P$612,P$613)</f>
        <v>1.038532</v>
      </c>
      <c r="Q619" s="252">
        <f>_xll.ciqfunctions.udf.CIQAVG("$"&amp;$A619,"IQ_LASTSALEPRICE",Q$612,Q$613)</f>
        <v>0.990282</v>
      </c>
      <c r="R619" s="252">
        <f>_xll.ciqfunctions.udf.CIQAVG("$"&amp;$A619,"IQ_LASTSALEPRICE",R$612,R$613)</f>
        <v>0.91556700000000002</v>
      </c>
      <c r="S619" s="252">
        <f>_xll.ciqfunctions.udf.CIQAVG("$"&amp;$A619,"IQ_LASTSALEPRICE",S$612,S$613)</f>
        <v>0.92703000000000002</v>
      </c>
      <c r="T619" s="252">
        <f>_xll.ciqfunctions.udf.CIQAVG("$"&amp;$A619,"IQ_LASTSALEPRICE",T$612,T$613)</f>
        <v>0.89673800000000004</v>
      </c>
      <c r="U619" s="252">
        <f>_xll.ciqfunctions.udf.CIQAVG("$"&amp;$A619,"IQ_LASTSALEPRICE",U$612,U$613)</f>
        <v>0.93286500000000006</v>
      </c>
      <c r="V619" s="252">
        <f>_xll.ciqfunctions.udf.CIQAVG("$"&amp;$A619,"IQ_LASTSALEPRICE",V$612,V$613)</f>
        <v>0.92497700000000005</v>
      </c>
      <c r="W619" s="252">
        <f>_xll.ciqfunctions.udf.CIQAVG("$"&amp;$A619,"IQ_LASTSALEPRICE",W$612,W$613)</f>
        <v>0.85508899999999999</v>
      </c>
      <c r="X619" s="252">
        <f>_xll.ciqfunctions.udf.CIQAVG("$"&amp;$A619,"IQ_LASTSALEPRICE",X$612,X$613)</f>
        <v>0.78685700000000003</v>
      </c>
      <c r="Y619" s="252">
        <f>_xll.ciqfunctions.udf.CIQAVG("$"&amp;$A619,"IQ_LASTSALEPRICE",Y$612,Y$613)</f>
        <v>0.77748499999999998</v>
      </c>
      <c r="Z619" s="252">
        <f>_xll.ciqfunctions.udf.CIQAVG("$"&amp;$A619,"IQ_LASTSALEPRICE",Z$612,Z$613)</f>
        <v>0.72573600000000005</v>
      </c>
      <c r="AA619" s="252">
        <f>_xll.ciqfunctions.udf.CIQAVG("$"&amp;$A619,"IQ_LASTSALEPRICE",AA$612,AA$613)</f>
        <v>0.72009699999999999</v>
      </c>
      <c r="AB619" s="252">
        <f>_xll.ciqfunctions.udf.CIQAVG("$"&amp;$A619,"IQ_LASTSALEPRICE",AB$612,AB$613)</f>
        <v>0.72217100000000001</v>
      </c>
      <c r="AC619" s="252">
        <f>_xll.ciqfunctions.udf.CIQAVG("$"&amp;$A619,"IQ_LASTSALEPRICE",AC$612,AC$613)</f>
        <v>0.74552600000000002</v>
      </c>
      <c r="AD619" s="252">
        <f>_xll.ciqfunctions.udf.CIQAVG("$"&amp;$A619,"IQ_LASTSALEPRICE",AD$612,AD$613)</f>
        <v>0.75818200000000002</v>
      </c>
      <c r="AE619" s="252">
        <f>_xll.ciqfunctions.udf.CIQAVG("$"&amp;$A619,"IQ_LASTSALEPRICE",AE$612,AE$613)</f>
        <v>0.74871500000000002</v>
      </c>
      <c r="AF619" s="252">
        <f>_xll.ciqfunctions.udf.CIQAVG("$"&amp;$A619,"IQ_LASTSALEPRICE",AF$612,AF$613)</f>
        <v>0.75762200000000002</v>
      </c>
      <c r="AG619" s="252">
        <f>_xll.ciqfunctions.udf.CIQAVG("$"&amp;$A619,"IQ_LASTSALEPRICE",AG$612,AG$613)</f>
        <v>0.75089099999999998</v>
      </c>
      <c r="AH619" s="252">
        <f>_xll.ciqfunctions.udf.CIQAVG("$"&amp;$A619,"IQ_LASTSALEPRICE",AH$612,AH$613)</f>
        <v>0.78940200000000005</v>
      </c>
      <c r="AI619" s="252">
        <f>_xll.ciqfunctions.udf.CIQAVG("$"&amp;$A619,"IQ_LASTSALEPRICE",AI$612,AI$613)</f>
        <v>0.76883999999999997</v>
      </c>
      <c r="AJ619" s="252">
        <f>_xll.ciqfunctions.udf.CIQAVG("$"&amp;$A619,"IQ_LASTSALEPRICE",AJ$612,AJ$613)</f>
        <v>0.78595899999999996</v>
      </c>
      <c r="AK619" s="252">
        <f>_xll.ciqfunctions.udf.CIQAVG("$"&amp;$A619,"IQ_LASTSALEPRICE",AK$612,AK$613)</f>
        <v>0.75673299999999999</v>
      </c>
      <c r="AL619" s="252">
        <f>_xll.ciqfunctions.udf.CIQAVG("$"&amp;$A619,"IQ_LASTSALEPRICE",AL$612,AL$613)</f>
        <v>0.73145400000000005</v>
      </c>
      <c r="AM619" s="252">
        <f>_xll.ciqfunctions.udf.CIQAVG("$"&amp;$A619,"IQ_LASTSALEPRICE",AM$612,AM$613)</f>
        <v>0.717055</v>
      </c>
      <c r="AN619" s="252">
        <f>_xll.ciqfunctions.udf.CIQAVG("$"&amp;$A619,"IQ_LASTSALEPRICE",AN$612,AN$613)</f>
        <v>0.71239600000000003</v>
      </c>
      <c r="AO619" s="252">
        <f>_xll.ciqfunctions.udf.CIQAVG("$"&amp;$A619,"IQ_LASTSALEPRICE",AO$612,AO$613)</f>
        <v>0.70015799999999995</v>
      </c>
      <c r="AP619" s="252">
        <f>_xll.ciqfunctions.udf.CIQAVG("$"&amp;$A619,"IQ_LASTSALEPRICE",AP$612,AP$613)</f>
        <v>0.68563499999999999</v>
      </c>
      <c r="AQ619" s="252">
        <f>_xll.ciqfunctions.udf.CIQAVG("$"&amp;$A619,"IQ_LASTSALEPRICE",AQ$612,AQ$613)</f>
        <v>0.68379800000000002</v>
      </c>
      <c r="AR619" s="252">
        <f>_xll.ciqfunctions.udf.CIQAVG("$"&amp;$A619,"IQ_LASTSALEPRICE",AR$612,AR$613)</f>
        <v>0.65827500000000005</v>
      </c>
      <c r="AS619" s="252">
        <f>_xll.ciqfunctions.udf.CIQAVG("$"&amp;$A619,"IQ_LASTSALEPRICE",AS$612,AS$613)</f>
        <v>0.65694600000000003</v>
      </c>
      <c r="AT619" s="252">
        <f>_xll.ciqfunctions.udf.CIQAVG("$"&amp;$A619,"IQ_LASTSALEPRICE",AT$612,AT$613)</f>
        <v>0.71486799999999995</v>
      </c>
      <c r="AU619" s="252">
        <f>_xll.ciqfunctions.udf.CIQAVG("$"&amp;$A619,"IQ_LASTSALEPRICE",AU$612,AU$613)</f>
        <v>0.73162000000000005</v>
      </c>
      <c r="AV619" s="252">
        <f>_xll.ciqfunctions.udf.CIQAVG("$"&amp;$A619,"IQ_LASTSALEPRICE",AV$612,AV$613)</f>
        <v>0.77246800000000004</v>
      </c>
      <c r="AW619" s="252">
        <f>_xll.ciqfunctions.udf.CIQAVG("$"&amp;$A619,"IQ_LASTSALEPRICE",AW$612,AW$613)</f>
        <v>0.76977399999999996</v>
      </c>
      <c r="AX619" s="252">
        <f>_xll.ciqfunctions.udf.CIQAVG("$"&amp;$A619,"IQ_LASTSALEPRICE",AX$612,AX$613)</f>
        <v>0.734846</v>
      </c>
      <c r="AY619" s="252">
        <f>_xll.ciqfunctions.udf.CIQAVG("$"&amp;$A619,"IQ_LASTSALEPRICE",AY$612,AY$613)</f>
        <v>0.72854200000000002</v>
      </c>
      <c r="AZ619" s="252">
        <f>_xll.ciqfunctions.udf.CIQAVG("$"&amp;$A619,"IQ_LASTSALEPRICE",AZ$612,AZ$613)</f>
        <v>0.72435700000000003</v>
      </c>
      <c r="BA619" s="252">
        <f>_xll.ciqfunctions.udf.CIQAVG("$"&amp;$A619,"IQ_LASTSALEPRICE",BA$612,BA$613)</f>
        <v>0.71469000000000005</v>
      </c>
      <c r="BB619" s="252">
        <f>_xll.ciqfunctions.udf.CIQAVG("$"&amp;$A619,"IQ_LASTSALEPRICE",BB$612,BB$613)</f>
        <v>0.68381199999999998</v>
      </c>
      <c r="BC619" s="252">
        <f>_xll.ciqfunctions.udf.CIQAVG("$"&amp;$A619,"IQ_LASTSALEPRICE",BC$612,BC$613)</f>
        <v>0.65752500000000003</v>
      </c>
      <c r="BD619" s="252">
        <f>_xll.ciqfunctions.udf.CIQAVG("$"&amp;$A619,"IQ_LASTSALEPRICE",BD$612,BD$613)</f>
        <v>0.68353600000000003</v>
      </c>
      <c r="BE619" s="252">
        <f>_xll.ciqfunctions.udf.CIQAVG("$"&amp;$A619,"IQ_LASTSALEPRICE",BE$612,BE$613)</f>
        <v>0.66799600000000003</v>
      </c>
      <c r="BF619" s="252">
        <f>_xll.ciqfunctions.udf.CIQAVG("$"&amp;$A619,"IQ_LASTSALEPRICE",BF$612,BF$613)</f>
        <v>0.65493400000000002</v>
      </c>
      <c r="BG619" s="252">
        <f>_xll.ciqfunctions.udf.CIQAVG("$"&amp;$A619,"IQ_LASTSALEPRICE",BG$612,BG$613)</f>
        <v>0.65163899999999997</v>
      </c>
      <c r="BH619" s="252">
        <f>_xll.ciqfunctions.udf.CIQAVG("$"&amp;$A619,"IQ_LASTSALEPRICE",BH$612,BH$613)</f>
        <v>0.65763000000000005</v>
      </c>
      <c r="BI619" s="252">
        <f>_xll.ciqfunctions.udf.CIQAVG("$"&amp;$A619,"IQ_LASTSALEPRICE",BI$612,BI$613)</f>
        <v>0.65898299999999999</v>
      </c>
      <c r="BJ619" s="252">
        <f>_xll.ciqfunctions.udf.CIQAVG("$"&amp;$A619,"IQ_LASTSALEPRICE",BJ$612,BJ$613)</f>
        <v>0.66998500000000005</v>
      </c>
      <c r="BK619" s="252">
        <f>_xll.ciqfunctions.udf.CIQAVG("$"&amp;$A619,"IQ_LASTSALEPRICE",BK$612,BK$613)*($CJ$2-BK$612)/(BK$613-BK$612)+_xll.ciqfunctions.udf.CIQ("$"&amp;$A619,"IQ_LASTSALEPRICE",$CJ$2)*(1-($CJ$2-BK$612)/(BK$613-BK$612))</f>
        <v>0.65203100000000003</v>
      </c>
      <c r="BL619" s="252">
        <f>_xll.ciqfunctions.udf.CIQ("$"&amp;$A619,"IQ_LASTSALEPRICE",$CJ$2)</f>
        <v>0.61885000000000001</v>
      </c>
      <c r="BM619" s="252">
        <f>_xll.ciqfunctions.udf.CIQ("$"&amp;$A619,"IQ_LASTSALEPRICE",$CJ$2)</f>
        <v>0.61885000000000001</v>
      </c>
      <c r="BN619" s="252">
        <f>_xll.ciqfunctions.udf.CIQ("$"&amp;$A619,"IQ_LASTSALEPRICE",$CJ$2)</f>
        <v>0.61885000000000001</v>
      </c>
      <c r="BO619" s="252">
        <f>_xll.ciqfunctions.udf.CIQ("$"&amp;$A619,"IQ_LASTSALEPRICE",$CJ$2)</f>
        <v>0.61885000000000001</v>
      </c>
      <c r="BU619" s="252">
        <f>_xll.ciqfunctions.udf.CIQAVG("$"&amp;$A619,"IQ_LASTSALEPRICE",BU$612,BU$613)</f>
        <v>1.033256</v>
      </c>
      <c r="BV619" s="252">
        <f>_xll.ciqfunctions.udf.CIQAVG("$"&amp;$A619,"IQ_LASTSALEPRICE",BV$612,BV$613)</f>
        <v>1.0357190000000001</v>
      </c>
      <c r="BW619" s="252">
        <f>_xll.ciqfunctions.udf.CIQAVG("$"&amp;$A619,"IQ_LASTSALEPRICE",BW$612,BW$613)</f>
        <v>0.96740400000000004</v>
      </c>
      <c r="BX619" s="252">
        <f>_xll.ciqfunctions.udf.CIQAVG("$"&amp;$A619,"IQ_LASTSALEPRICE",BX$612,BX$613)</f>
        <v>0.90236499999999997</v>
      </c>
      <c r="BY619" s="252">
        <f>_xll.ciqfunctions.udf.CIQAVG("$"&amp;$A619,"IQ_LASTSALEPRICE",BY$612,BY$613)</f>
        <v>0.75228700000000004</v>
      </c>
      <c r="BZ619" s="252">
        <f>_xll.ciqfunctions.udf.CIQAVG("$"&amp;$A619,"IQ_LASTSALEPRICE",BZ$612,BZ$613)</f>
        <v>0.74370199999999997</v>
      </c>
      <c r="CA619" s="252">
        <f>_xll.ciqfunctions.udf.CIQAVG("$"&amp;$A619,"IQ_LASTSALEPRICE",CA$612,CA$613)</f>
        <v>0.76678199999999996</v>
      </c>
      <c r="CB619" s="252">
        <f>_xll.ciqfunctions.udf.CIQAVG("$"&amp;$A619,"IQ_LASTSALEPRICE",CB$612,CB$613)</f>
        <v>0.74756599999999995</v>
      </c>
      <c r="CC619" s="252">
        <f>_xll.ciqfunctions.udf.CIQAVG("$"&amp;$A619,"IQ_LASTSALEPRICE",CC$612,CC$613)</f>
        <v>0.69539099999999998</v>
      </c>
      <c r="CD619" s="252">
        <f>_xll.ciqfunctions.udf.CIQAVG("$"&amp;$A619,"IQ_LASTSALEPRICE",CD$612,CD$613)</f>
        <v>0.69060699999999997</v>
      </c>
      <c r="CE619" s="252">
        <f>_xll.ciqfunctions.udf.CIQAVG("$"&amp;$A619,"IQ_LASTSALEPRICE",CE$612,CE$613)</f>
        <v>0.75124199999999997</v>
      </c>
      <c r="CF619" s="252">
        <f>_xll.ciqfunctions.udf.CIQAVG("$"&amp;$A619,"IQ_LASTSALEPRICE",CF$612,CF$613)</f>
        <v>0.694882</v>
      </c>
      <c r="CG619" s="252">
        <f>_xll.ciqfunctions.udf.CIQAVG("$"&amp;$A619,"IQ_LASTSALEPRICE",CG$612,CG$613)</f>
        <v>0.664412</v>
      </c>
      <c r="CH619" s="184">
        <f t="shared" si="994"/>
        <v>0.65965724999999997</v>
      </c>
      <c r="CI619" s="184">
        <f t="shared" si="995"/>
        <v>0.61885000000000001</v>
      </c>
    </row>
    <row r="620" spans="1:91" s="76" customFormat="1" x14ac:dyDescent="0.2">
      <c r="A620" s="76" t="s">
        <v>232</v>
      </c>
      <c r="B620" t="s">
        <v>233</v>
      </c>
      <c r="D620" s="252">
        <f>_xll.ciqfunctions.udf.CIQAVG("$"&amp;$A620,"IQ_LASTSALEPRICE",D$612,D$613)</f>
        <v>2.1783E-2</v>
      </c>
      <c r="E620" s="252">
        <f>_xll.ciqfunctions.udf.CIQAVG("$"&amp;$A620,"IQ_LASTSALEPRICE",E$612,E$613)</f>
        <v>2.1925E-2</v>
      </c>
      <c r="F620" s="252">
        <f>_xll.ciqfunctions.udf.CIQAVG("$"&amp;$A620,"IQ_LASTSALEPRICE",F$612,F$613)</f>
        <v>2.1527000000000001E-2</v>
      </c>
      <c r="G620" s="252">
        <f>_xll.ciqfunctions.udf.CIQAVG("$"&amp;$A620,"IQ_LASTSALEPRICE",G$612,G$613)</f>
        <v>2.2311999999999999E-2</v>
      </c>
      <c r="H620" s="252">
        <f>_xll.ciqfunctions.udf.CIQAVG("$"&amp;$A620,"IQ_LASTSALEPRICE",H$612,H$613)</f>
        <v>2.2103999999999999E-2</v>
      </c>
      <c r="I620" s="252">
        <f>_xll.ciqfunctions.udf.CIQAVG("$"&amp;$A620,"IQ_LASTSALEPRICE",I$612,I$613)</f>
        <v>2.2380000000000001E-2</v>
      </c>
      <c r="J620" s="252">
        <f>_xll.ciqfunctions.udf.CIQAVG("$"&amp;$A620,"IQ_LASTSALEPRICE",J$612,J$613)</f>
        <v>2.1887E-2</v>
      </c>
      <c r="K620" s="252">
        <f>_xll.ciqfunctions.udf.CIQAVG("$"&amp;$A620,"IQ_LASTSALEPRICE",K$612,K$613)</f>
        <v>1.9719E-2</v>
      </c>
      <c r="L620" s="252">
        <f>_xll.ciqfunctions.udf.CIQAVG("$"&amp;$A620,"IQ_LASTSALEPRICE",L$612,L$613)</f>
        <v>1.9911000000000002E-2</v>
      </c>
      <c r="M620" s="252">
        <f>_xll.ciqfunctions.udf.CIQAVG("$"&amp;$A620,"IQ_LASTSALEPRICE",M$612,M$613)</f>
        <v>1.8544000000000001E-2</v>
      </c>
      <c r="N620" s="252">
        <f>_xll.ciqfunctions.udf.CIQAVG("$"&amp;$A620,"IQ_LASTSALEPRICE",N$612,N$613)</f>
        <v>1.8145999999999999E-2</v>
      </c>
      <c r="O620" s="252">
        <f>_xll.ciqfunctions.udf.CIQAVG("$"&amp;$A620,"IQ_LASTSALEPRICE",O$612,O$613)</f>
        <v>1.8464999999999999E-2</v>
      </c>
      <c r="P620" s="252">
        <f>_xll.ciqfunctions.udf.CIQAVG("$"&amp;$A620,"IQ_LASTSALEPRICE",P$612,P$613)</f>
        <v>1.8454999999999999E-2</v>
      </c>
      <c r="Q620" s="252">
        <f>_xll.ciqfunctions.udf.CIQAVG("$"&amp;$A620,"IQ_LASTSALEPRICE",Q$612,Q$613)</f>
        <v>1.7923999999999999E-2</v>
      </c>
      <c r="R620" s="252">
        <f>_xll.ciqfunctions.udf.CIQAVG("$"&amp;$A620,"IQ_LASTSALEPRICE",R$612,R$613)</f>
        <v>1.6143000000000001E-2</v>
      </c>
      <c r="S620" s="252">
        <f>_xll.ciqfunctions.udf.CIQAVG("$"&amp;$A620,"IQ_LASTSALEPRICE",S$612,S$613)</f>
        <v>1.6135E-2</v>
      </c>
      <c r="T620" s="252">
        <f>_xll.ciqfunctions.udf.CIQAVG("$"&amp;$A620,"IQ_LASTSALEPRICE",T$612,T$613)</f>
        <v>1.6201E-2</v>
      </c>
      <c r="U620" s="252">
        <f>_xll.ciqfunctions.udf.CIQAVG("$"&amp;$A620,"IQ_LASTSALEPRICE",U$612,U$613)</f>
        <v>1.6729000000000001E-2</v>
      </c>
      <c r="V620" s="252">
        <f>_xll.ciqfunctions.udf.CIQAVG("$"&amp;$A620,"IQ_LASTSALEPRICE",V$612,V$613)</f>
        <v>1.6507999999999998E-2</v>
      </c>
      <c r="W620" s="252">
        <f>_xll.ciqfunctions.udf.CIQAVG("$"&amp;$A620,"IQ_LASTSALEPRICE",W$612,W$613)</f>
        <v>1.6140999999999999E-2</v>
      </c>
      <c r="X620" s="252">
        <f>_xll.ciqfunctions.udf.CIQAVG("$"&amp;$A620,"IQ_LASTSALEPRICE",X$612,X$613)</f>
        <v>1.6069E-2</v>
      </c>
      <c r="Y620" s="252">
        <f>_xll.ciqfunctions.udf.CIQAVG("$"&amp;$A620,"IQ_LASTSALEPRICE",Y$612,Y$613)</f>
        <v>1.5771E-2</v>
      </c>
      <c r="Z620" s="252">
        <f>_xll.ciqfunctions.udf.CIQAVG("$"&amp;$A620,"IQ_LASTSALEPRICE",Z$612,Z$613)</f>
        <v>1.5394E-2</v>
      </c>
      <c r="AA620" s="252">
        <f>_xll.ciqfunctions.udf.CIQAVG("$"&amp;$A620,"IQ_LASTSALEPRICE",AA$612,AA$613)</f>
        <v>1.5174E-2</v>
      </c>
      <c r="AB620" s="252">
        <f>_xll.ciqfunctions.udf.CIQAVG("$"&amp;$A620,"IQ_LASTSALEPRICE",AB$612,AB$613)</f>
        <v>1.4824E-2</v>
      </c>
      <c r="AC620" s="252">
        <f>_xll.ciqfunctions.udf.CIQAVG("$"&amp;$A620,"IQ_LASTSALEPRICE",AC$612,AC$613)</f>
        <v>1.4947999999999999E-2</v>
      </c>
      <c r="AD620" s="252">
        <f>_xll.ciqfunctions.udf.CIQAVG("$"&amp;$A620,"IQ_LASTSALEPRICE",AD$612,AD$613)</f>
        <v>1.4933E-2</v>
      </c>
      <c r="AE620" s="252">
        <f>_xll.ciqfunctions.udf.CIQAVG("$"&amp;$A620,"IQ_LASTSALEPRICE",AE$612,AE$613)</f>
        <v>1.4831E-2</v>
      </c>
      <c r="AF620" s="252">
        <f>_xll.ciqfunctions.udf.CIQAVG("$"&amp;$A620,"IQ_LASTSALEPRICE",AF$612,AF$613)</f>
        <v>1.4935E-2</v>
      </c>
      <c r="AG620" s="252">
        <f>_xll.ciqfunctions.udf.CIQAVG("$"&amp;$A620,"IQ_LASTSALEPRICE",AG$612,AG$613)</f>
        <v>1.5511E-2</v>
      </c>
      <c r="AH620" s="252">
        <f>_xll.ciqfunctions.udf.CIQAVG("$"&amp;$A620,"IQ_LASTSALEPRICE",AH$612,AH$613)</f>
        <v>1.5557E-2</v>
      </c>
      <c r="AI620" s="252">
        <f>_xll.ciqfunctions.udf.CIQAVG("$"&amp;$A620,"IQ_LASTSALEPRICE",AI$612,AI$613)</f>
        <v>1.5448999999999999E-2</v>
      </c>
      <c r="AJ620" s="252">
        <f>_xll.ciqfunctions.udf.CIQAVG("$"&amp;$A620,"IQ_LASTSALEPRICE",AJ$612,AJ$613)</f>
        <v>1.5533E-2</v>
      </c>
      <c r="AK620" s="252">
        <f>_xll.ciqfunctions.udf.CIQAVG("$"&amp;$A620,"IQ_LASTSALEPRICE",AK$612,AK$613)</f>
        <v>1.4926E-2</v>
      </c>
      <c r="AL620" s="252">
        <f>_xll.ciqfunctions.udf.CIQAVG("$"&amp;$A620,"IQ_LASTSALEPRICE",AL$612,AL$613)</f>
        <v>1.4274999999999999E-2</v>
      </c>
      <c r="AM620" s="252">
        <f>_xll.ciqfunctions.udf.CIQAVG("$"&amp;$A620,"IQ_LASTSALEPRICE",AM$612,AM$613)</f>
        <v>1.3887999999999999E-2</v>
      </c>
      <c r="AN620" s="252">
        <f>_xll.ciqfunctions.udf.CIQAVG("$"&amp;$A620,"IQ_LASTSALEPRICE",AN$612,AN$613)</f>
        <v>1.4194999999999999E-2</v>
      </c>
      <c r="AO620" s="252">
        <f>_xll.ciqfunctions.udf.CIQAVG("$"&amp;$A620,"IQ_LASTSALEPRICE",AO$612,AO$613)</f>
        <v>1.4382000000000001E-2</v>
      </c>
      <c r="AP620" s="252">
        <f>_xll.ciqfunctions.udf.CIQAVG("$"&amp;$A620,"IQ_LASTSALEPRICE",AP$612,AP$613)</f>
        <v>1.4215999999999999E-2</v>
      </c>
      <c r="AQ620" s="252">
        <f>_xll.ciqfunctions.udf.CIQAVG("$"&amp;$A620,"IQ_LASTSALEPRICE",AQ$612,AQ$613)</f>
        <v>1.4042000000000001E-2</v>
      </c>
      <c r="AR620" s="252">
        <f>_xll.ciqfunctions.udf.CIQAVG("$"&amp;$A620,"IQ_LASTSALEPRICE",AR$612,AR$613)</f>
        <v>1.38E-2</v>
      </c>
      <c r="AS620" s="252">
        <f>_xll.ciqfunctions.udf.CIQAVG("$"&amp;$A620,"IQ_LASTSALEPRICE",AS$612,AS$613)</f>
        <v>1.3176999999999999E-2</v>
      </c>
      <c r="AT620" s="252">
        <f>_xll.ciqfunctions.udf.CIQAVG("$"&amp;$A620,"IQ_LASTSALEPRICE",AT$612,AT$613)</f>
        <v>1.3453E-2</v>
      </c>
      <c r="AU620" s="252">
        <f>_xll.ciqfunctions.udf.CIQAVG("$"&amp;$A620,"IQ_LASTSALEPRICE",AU$612,AU$613)</f>
        <v>1.3551000000000001E-2</v>
      </c>
      <c r="AV620" s="252">
        <f>_xll.ciqfunctions.udf.CIQAVG("$"&amp;$A620,"IQ_LASTSALEPRICE",AV$612,AV$613)</f>
        <v>1.3712999999999999E-2</v>
      </c>
      <c r="AW620" s="252">
        <f>_xll.ciqfunctions.udf.CIQAVG("$"&amp;$A620,"IQ_LASTSALEPRICE",AW$612,AW$613)</f>
        <v>1.3561E-2</v>
      </c>
      <c r="AX620" s="252">
        <f>_xll.ciqfunctions.udf.CIQAVG("$"&amp;$A620,"IQ_LASTSALEPRICE",AX$612,AX$613)</f>
        <v>1.3499000000000001E-2</v>
      </c>
      <c r="AY620" s="252">
        <f>_xll.ciqfunctions.udf.CIQAVG("$"&amp;$A620,"IQ_LASTSALEPRICE",AY$612,AY$613)</f>
        <v>1.3344E-2</v>
      </c>
      <c r="AZ620" s="252">
        <f>_xll.ciqfunctions.udf.CIQAVG("$"&amp;$A620,"IQ_LASTSALEPRICE",AZ$612,AZ$613)</f>
        <v>1.3295E-2</v>
      </c>
      <c r="BA620" s="252">
        <f>_xll.ciqfunctions.udf.CIQAVG("$"&amp;$A620,"IQ_LASTSALEPRICE",BA$612,BA$613)</f>
        <v>1.2954E-2</v>
      </c>
      <c r="BB620" s="252">
        <f>_xll.ciqfunctions.udf.CIQAVG("$"&amp;$A620,"IQ_LASTSALEPRICE",BB$612,BB$613)</f>
        <v>1.2539E-2</v>
      </c>
      <c r="BC620" s="252">
        <f>_xll.ciqfunctions.udf.CIQAVG("$"&amp;$A620,"IQ_LASTSALEPRICE",BC$612,BC$613)</f>
        <v>1.2177E-2</v>
      </c>
      <c r="BD620" s="252">
        <f>_xll.ciqfunctions.udf.CIQAVG("$"&amp;$A620,"IQ_LASTSALEPRICE",BD$612,BD$613)</f>
        <v>1.2167000000000001E-2</v>
      </c>
      <c r="BE620" s="252">
        <f>_xll.ciqfunctions.udf.CIQAVG("$"&amp;$A620,"IQ_LASTSALEPRICE",BE$612,BE$613)</f>
        <v>1.2172000000000001E-2</v>
      </c>
      <c r="BF620" s="252">
        <f>_xll.ciqfunctions.udf.CIQAVG("$"&amp;$A620,"IQ_LASTSALEPRICE",BF$612,BF$613)</f>
        <v>1.2096000000000001E-2</v>
      </c>
      <c r="BG620" s="252">
        <f>_xll.ciqfunctions.udf.CIQAVG("$"&amp;$A620,"IQ_LASTSALEPRICE",BG$612,BG$613)</f>
        <v>1.2014E-2</v>
      </c>
      <c r="BH620" s="252">
        <f>_xll.ciqfunctions.udf.CIQAVG("$"&amp;$A620,"IQ_LASTSALEPRICE",BH$612,BH$613)</f>
        <v>1.2043E-2</v>
      </c>
      <c r="BI620" s="252">
        <f>_xll.ciqfunctions.udf.CIQAVG("$"&amp;$A620,"IQ_LASTSALEPRICE",BI$612,BI$613)</f>
        <v>1.1988E-2</v>
      </c>
      <c r="BJ620" s="252">
        <f>_xll.ciqfunctions.udf.CIQAVG("$"&amp;$A620,"IQ_LASTSALEPRICE",BJ$612,BJ$613)</f>
        <v>1.1939E-2</v>
      </c>
      <c r="BK620" s="252">
        <f>_xll.ciqfunctions.udf.CIQAVG("$"&amp;$A620,"IQ_LASTSALEPRICE",BK$612,BK$613)*($CJ$2-BK$612)/(BK$613-BK$612)+_xll.ciqfunctions.udf.CIQ("$"&amp;$A620,"IQ_LASTSALEPRICE",$CJ$2)*(1-($CJ$2-BK$612)/(BK$613-BK$612))</f>
        <v>1.184E-2</v>
      </c>
      <c r="BL620" s="252">
        <f>_xll.ciqfunctions.udf.CIQ("$"&amp;$A620,"IQ_LASTSALEPRICE",$CJ$2)</f>
        <v>1.1684999999999999E-2</v>
      </c>
      <c r="BM620" s="252">
        <f>_xll.ciqfunctions.udf.CIQ("$"&amp;$A620,"IQ_LASTSALEPRICE",$CJ$2)</f>
        <v>1.1684999999999999E-2</v>
      </c>
      <c r="BN620" s="252">
        <f>_xll.ciqfunctions.udf.CIQ("$"&amp;$A620,"IQ_LASTSALEPRICE",$CJ$2)</f>
        <v>1.1684999999999999E-2</v>
      </c>
      <c r="BO620" s="252">
        <f>_xll.ciqfunctions.udf.CIQ("$"&amp;$A620,"IQ_LASTSALEPRICE",$CJ$2)</f>
        <v>1.1684999999999999E-2</v>
      </c>
      <c r="BU620" s="252">
        <f>_xll.ciqfunctions.udf.CIQAVG("$"&amp;$A620,"IQ_LASTSALEPRICE",BU$612,BU$613)</f>
        <v>2.1517000000000001E-2</v>
      </c>
      <c r="BV620" s="252">
        <f>_xll.ciqfunctions.udf.CIQAVG("$"&amp;$A620,"IQ_LASTSALEPRICE",BV$612,BV$613)</f>
        <v>1.8763999999999999E-2</v>
      </c>
      <c r="BW620" s="252">
        <f>_xll.ciqfunctions.udf.CIQAVG("$"&amp;$A620,"IQ_LASTSALEPRICE",BW$612,BW$613)</f>
        <v>1.7155E-2</v>
      </c>
      <c r="BX620" s="252">
        <f>_xll.ciqfunctions.udf.CIQAVG("$"&amp;$A620,"IQ_LASTSALEPRICE",BX$612,BX$613)</f>
        <v>1.6395E-2</v>
      </c>
      <c r="BY620" s="252">
        <f>_xll.ciqfunctions.udf.CIQAVG("$"&amp;$A620,"IQ_LASTSALEPRICE",BY$612,BY$613)</f>
        <v>1.5599E-2</v>
      </c>
      <c r="BZ620" s="252">
        <f>_xll.ciqfunctions.udf.CIQAVG("$"&amp;$A620,"IQ_LASTSALEPRICE",BZ$612,BZ$613)</f>
        <v>1.4884E-2</v>
      </c>
      <c r="CA620" s="252">
        <f>_xll.ciqfunctions.udf.CIQAVG("$"&amp;$A620,"IQ_LASTSALEPRICE",CA$612,CA$613)</f>
        <v>1.5365E-2</v>
      </c>
      <c r="CB620" s="252">
        <f>_xll.ciqfunctions.udf.CIQAVG("$"&amp;$A620,"IQ_LASTSALEPRICE",CB$612,CB$613)</f>
        <v>1.465E-2</v>
      </c>
      <c r="CC620" s="252">
        <f>_xll.ciqfunctions.udf.CIQAVG("$"&amp;$A620,"IQ_LASTSALEPRICE",CC$612,CC$613)</f>
        <v>1.4208E-2</v>
      </c>
      <c r="CD620" s="252">
        <f>_xll.ciqfunctions.udf.CIQAVG("$"&amp;$A620,"IQ_LASTSALEPRICE",CD$612,CD$613)</f>
        <v>1.3495E-2</v>
      </c>
      <c r="CE620" s="252">
        <f>_xll.ciqfunctions.udf.CIQAVG("$"&amp;$A620,"IQ_LASTSALEPRICE",CE$612,CE$613)</f>
        <v>1.3528E-2</v>
      </c>
      <c r="CF620" s="252">
        <f>_xll.ciqfunctions.udf.CIQAVG("$"&amp;$A620,"IQ_LASTSALEPRICE",CF$612,CF$613)</f>
        <v>1.2737999999999999E-2</v>
      </c>
      <c r="CG620" s="252">
        <f>_xll.ciqfunctions.udf.CIQAVG("$"&amp;$A620,"IQ_LASTSALEPRICE",CG$612,CG$613)</f>
        <v>1.2112E-2</v>
      </c>
      <c r="CH620" s="184">
        <f t="shared" si="994"/>
        <v>1.1952500000000001E-2</v>
      </c>
      <c r="CI620" s="184">
        <f t="shared" si="995"/>
        <v>1.1684999999999999E-2</v>
      </c>
    </row>
    <row r="621" spans="1:91" s="76" customFormat="1" x14ac:dyDescent="0.2">
      <c r="A621" s="76" t="s">
        <v>234</v>
      </c>
      <c r="B621" t="s">
        <v>235</v>
      </c>
      <c r="D621" s="252">
        <f>_xll.ciqfunctions.udf.CIQAVG("$"&amp;$A621,"IQ_LASTSALEPRICE",D$612,D$613)</f>
        <v>0.55515499999999995</v>
      </c>
      <c r="E621" s="252">
        <f>_xll.ciqfunctions.udf.CIQAVG("$"&amp;$A621,"IQ_LASTSALEPRICE",E$612,E$613)</f>
        <v>0.55790799999999996</v>
      </c>
      <c r="F621" s="252">
        <f>_xll.ciqfunctions.udf.CIQAVG("$"&amp;$A621,"IQ_LASTSALEPRICE",F$612,F$613)</f>
        <v>0.57164599999999999</v>
      </c>
      <c r="G621" s="252">
        <f>_xll.ciqfunctions.udf.CIQAVG("$"&amp;$A621,"IQ_LASTSALEPRICE",G$612,G$613)</f>
        <v>0.58911999999999998</v>
      </c>
      <c r="H621" s="252">
        <f>_xll.ciqfunctions.udf.CIQAVG("$"&amp;$A621,"IQ_LASTSALEPRICE",H$612,H$613)</f>
        <v>0.59994700000000001</v>
      </c>
      <c r="I621" s="252">
        <f>_xll.ciqfunctions.udf.CIQAVG("$"&amp;$A621,"IQ_LASTSALEPRICE",I$612,I$613)</f>
        <v>0.62712599999999996</v>
      </c>
      <c r="J621" s="252">
        <f>_xll.ciqfunctions.udf.CIQAVG("$"&amp;$A621,"IQ_LASTSALEPRICE",J$612,J$613)</f>
        <v>0.61455400000000004</v>
      </c>
      <c r="K621" s="252">
        <f>_xll.ciqfunctions.udf.CIQAVG("$"&amp;$A621,"IQ_LASTSALEPRICE",K$612,K$613)</f>
        <v>0.55640400000000001</v>
      </c>
      <c r="L621" s="252">
        <f>_xll.ciqfunctions.udf.CIQAVG("$"&amp;$A621,"IQ_LASTSALEPRICE",L$612,L$613)</f>
        <v>0.56617300000000004</v>
      </c>
      <c r="M621" s="252">
        <f>_xll.ciqfunctions.udf.CIQAVG("$"&amp;$A621,"IQ_LASTSALEPRICE",M$612,M$613)</f>
        <v>0.51125299999999996</v>
      </c>
      <c r="N621" s="252">
        <f>_xll.ciqfunctions.udf.CIQAVG("$"&amp;$A621,"IQ_LASTSALEPRICE",N$612,N$613)</f>
        <v>0.49296299999999998</v>
      </c>
      <c r="O621" s="252">
        <f>_xll.ciqfunctions.udf.CIQAVG("$"&amp;$A621,"IQ_LASTSALEPRICE",O$612,O$613)</f>
        <v>0.48596699999999998</v>
      </c>
      <c r="P621" s="252">
        <f>_xll.ciqfunctions.udf.CIQAVG("$"&amp;$A621,"IQ_LASTSALEPRICE",P$612,P$613)</f>
        <v>0.50067700000000004</v>
      </c>
      <c r="Q621" s="252">
        <f>_xll.ciqfunctions.udf.CIQAVG("$"&amp;$A621,"IQ_LASTSALEPRICE",Q$612,Q$613)</f>
        <v>0.483908</v>
      </c>
      <c r="R621" s="252">
        <f>_xll.ciqfunctions.udf.CIQAVG("$"&amp;$A621,"IQ_LASTSALEPRICE",R$612,R$613)</f>
        <v>0.43721100000000002</v>
      </c>
      <c r="S621" s="252">
        <f>_xll.ciqfunctions.udf.CIQAVG("$"&amp;$A621,"IQ_LASTSALEPRICE",S$612,S$613)</f>
        <v>0.43926300000000001</v>
      </c>
      <c r="T621" s="252">
        <f>_xll.ciqfunctions.udf.CIQAVG("$"&amp;$A621,"IQ_LASTSALEPRICE",T$612,T$613)</f>
        <v>0.42341400000000001</v>
      </c>
      <c r="U621" s="252">
        <f>_xll.ciqfunctions.udf.CIQAVG("$"&amp;$A621,"IQ_LASTSALEPRICE",U$612,U$613)</f>
        <v>0.44838</v>
      </c>
      <c r="V621" s="252">
        <f>_xll.ciqfunctions.udf.CIQAVG("$"&amp;$A621,"IQ_LASTSALEPRICE",V$612,V$613)</f>
        <v>0.43877699999999997</v>
      </c>
      <c r="W621" s="252">
        <f>_xll.ciqfunctions.udf.CIQAVG("$"&amp;$A621,"IQ_LASTSALEPRICE",W$612,W$613)</f>
        <v>0.39214199999999999</v>
      </c>
      <c r="X621" s="252">
        <f>_xll.ciqfunctions.udf.CIQAVG("$"&amp;$A621,"IQ_LASTSALEPRICE",X$612,X$613)</f>
        <v>0.35021000000000002</v>
      </c>
      <c r="Y621" s="252">
        <f>_xll.ciqfunctions.udf.CIQAVG("$"&amp;$A621,"IQ_LASTSALEPRICE",Y$612,Y$613)</f>
        <v>0.32498100000000002</v>
      </c>
      <c r="Z621" s="252">
        <f>_xll.ciqfunctions.udf.CIQAVG("$"&amp;$A621,"IQ_LASTSALEPRICE",Z$612,Z$613)</f>
        <v>0.284304</v>
      </c>
      <c r="AA621" s="252">
        <f>_xll.ciqfunctions.udf.CIQAVG("$"&amp;$A621,"IQ_LASTSALEPRICE",AA$612,AA$613)</f>
        <v>0.26008399999999998</v>
      </c>
      <c r="AB621" s="252">
        <f>_xll.ciqfunctions.udf.CIQAVG("$"&amp;$A621,"IQ_LASTSALEPRICE",AB$612,AB$613)</f>
        <v>0.256824</v>
      </c>
      <c r="AC621" s="252">
        <f>_xll.ciqfunctions.udf.CIQAVG("$"&amp;$A621,"IQ_LASTSALEPRICE",AC$612,AC$613)</f>
        <v>0.28482600000000002</v>
      </c>
      <c r="AD621" s="252">
        <f>_xll.ciqfunctions.udf.CIQAVG("$"&amp;$A621,"IQ_LASTSALEPRICE",AD$612,AD$613)</f>
        <v>0.30832500000000002</v>
      </c>
      <c r="AE621" s="252">
        <f>_xll.ciqfunctions.udf.CIQAVG("$"&amp;$A621,"IQ_LASTSALEPRICE",AE$612,AE$613)</f>
        <v>0.30329600000000001</v>
      </c>
      <c r="AF621" s="252">
        <f>_xll.ciqfunctions.udf.CIQAVG("$"&amp;$A621,"IQ_LASTSALEPRICE",AF$612,AF$613)</f>
        <v>0.31792599999999999</v>
      </c>
      <c r="AG621" s="252">
        <f>_xll.ciqfunctions.udf.CIQAVG("$"&amp;$A621,"IQ_LASTSALEPRICE",AG$612,AG$613)</f>
        <v>0.311282</v>
      </c>
      <c r="AH621" s="252">
        <f>_xll.ciqfunctions.udf.CIQAVG("$"&amp;$A621,"IQ_LASTSALEPRICE",AH$612,AH$613)</f>
        <v>0.31623699999999999</v>
      </c>
      <c r="AI621" s="252">
        <f>_xll.ciqfunctions.udf.CIQAVG("$"&amp;$A621,"IQ_LASTSALEPRICE",AI$612,AI$613)</f>
        <v>0.30766500000000002</v>
      </c>
      <c r="AJ621" s="252">
        <f>_xll.ciqfunctions.udf.CIQAVG("$"&amp;$A621,"IQ_LASTSALEPRICE",AJ$612,AJ$613)</f>
        <v>0.308056</v>
      </c>
      <c r="AK621" s="252">
        <f>_xll.ciqfunctions.udf.CIQAVG("$"&amp;$A621,"IQ_LASTSALEPRICE",AK$612,AK$613)</f>
        <v>0.27792499999999998</v>
      </c>
      <c r="AL621" s="252">
        <f>_xll.ciqfunctions.udf.CIQAVG("$"&amp;$A621,"IQ_LASTSALEPRICE",AL$612,AL$613)</f>
        <v>0.25371199999999999</v>
      </c>
      <c r="AM621" s="252">
        <f>_xll.ciqfunctions.udf.CIQAVG("$"&amp;$A621,"IQ_LASTSALEPRICE",AM$612,AM$613)</f>
        <v>0.26267699999999999</v>
      </c>
      <c r="AN621" s="252">
        <f>_xll.ciqfunctions.udf.CIQAVG("$"&amp;$A621,"IQ_LASTSALEPRICE",AN$612,AN$613)</f>
        <v>0.26531900000000003</v>
      </c>
      <c r="AO621" s="252">
        <f>_xll.ciqfunctions.udf.CIQAVG("$"&amp;$A621,"IQ_LASTSALEPRICE",AO$612,AO$613)</f>
        <v>0.255305</v>
      </c>
      <c r="AP621" s="252">
        <f>_xll.ciqfunctions.udf.CIQAVG("$"&amp;$A621,"IQ_LASTSALEPRICE",AP$612,AP$613)</f>
        <v>0.25236799999999998</v>
      </c>
      <c r="AQ621" s="252">
        <f>_xll.ciqfunctions.udf.CIQAVG("$"&amp;$A621,"IQ_LASTSALEPRICE",AQ$612,AQ$613)</f>
        <v>0.24313199999999999</v>
      </c>
      <c r="AR621" s="252">
        <f>_xll.ciqfunctions.udf.CIQAVG("$"&amp;$A621,"IQ_LASTSALEPRICE",AR$612,AR$613)</f>
        <v>0.22566700000000001</v>
      </c>
      <c r="AS621" s="252">
        <f>_xll.ciqfunctions.udf.CIQAVG("$"&amp;$A621,"IQ_LASTSALEPRICE",AS$612,AS$613)</f>
        <v>0.18612100000000001</v>
      </c>
      <c r="AT621" s="252">
        <f>_xll.ciqfunctions.udf.CIQAVG("$"&amp;$A621,"IQ_LASTSALEPRICE",AT$612,AT$613)</f>
        <v>0.18617600000000001</v>
      </c>
      <c r="AU621" s="252">
        <f>_xll.ciqfunctions.udf.CIQAVG("$"&amp;$A621,"IQ_LASTSALEPRICE",AU$612,AU$613)</f>
        <v>0.185446</v>
      </c>
      <c r="AV621" s="252">
        <f>_xll.ciqfunctions.udf.CIQAVG("$"&amp;$A621,"IQ_LASTSALEPRICE",AV$612,AV$613)</f>
        <v>0.18306600000000001</v>
      </c>
      <c r="AW621" s="252">
        <f>_xll.ciqfunctions.udf.CIQAVG("$"&amp;$A621,"IQ_LASTSALEPRICE",AW$612,AW$613)</f>
        <v>0.18893699999999999</v>
      </c>
      <c r="AX621" s="252">
        <f>_xll.ciqfunctions.udf.CIQAVG("$"&amp;$A621,"IQ_LASTSALEPRICE",AX$612,AX$613)</f>
        <v>0.19142799999999999</v>
      </c>
      <c r="AY621" s="252">
        <f>_xll.ciqfunctions.udf.CIQAVG("$"&amp;$A621,"IQ_LASTSALEPRICE",AY$612,AY$613)</f>
        <v>0.17916899999999999</v>
      </c>
      <c r="AZ621" s="252">
        <f>_xll.ciqfunctions.udf.CIQAVG("$"&amp;$A621,"IQ_LASTSALEPRICE",AZ$612,AZ$613)</f>
        <v>0.19148799999999999</v>
      </c>
      <c r="BA621" s="252">
        <f>_xll.ciqfunctions.udf.CIQAVG("$"&amp;$A621,"IQ_LASTSALEPRICE",BA$612,BA$613)</f>
        <v>0.20365</v>
      </c>
      <c r="BB621" s="252">
        <f>_xll.ciqfunctions.udf.CIQAVG("$"&amp;$A621,"IQ_LASTSALEPRICE",BB$612,BB$613)</f>
        <v>0.190748</v>
      </c>
      <c r="BC621" s="252">
        <f>_xll.ciqfunctions.udf.CIQAVG("$"&amp;$A621,"IQ_LASTSALEPRICE",BC$612,BC$613)</f>
        <v>0.190245</v>
      </c>
      <c r="BD621" s="252">
        <f>_xll.ciqfunctions.udf.CIQAVG("$"&amp;$A621,"IQ_LASTSALEPRICE",BD$612,BD$613)</f>
        <v>0.192493</v>
      </c>
      <c r="BE621" s="252">
        <f>_xll.ciqfunctions.udf.CIQAVG("$"&amp;$A621,"IQ_LASTSALEPRICE",BE$612,BE$613)</f>
        <v>0.20194899999999999</v>
      </c>
      <c r="BF621" s="252">
        <f>_xll.ciqfunctions.udf.CIQAVG("$"&amp;$A621,"IQ_LASTSALEPRICE",BF$612,BF$613)</f>
        <v>0.20505100000000001</v>
      </c>
      <c r="BG621" s="252">
        <f>_xll.ciqfunctions.udf.CIQAVG("$"&amp;$A621,"IQ_LASTSALEPRICE",BG$612,BG$613)</f>
        <v>0.20202100000000001</v>
      </c>
      <c r="BH621" s="252">
        <f>_xll.ciqfunctions.udf.CIQAVG("$"&amp;$A621,"IQ_LASTSALEPRICE",BH$612,BH$613)</f>
        <v>0.20199500000000001</v>
      </c>
      <c r="BI621" s="252">
        <f>_xll.ciqfunctions.udf.CIQAVG("$"&amp;$A621,"IQ_LASTSALEPRICE",BI$612,BI$613)</f>
        <v>0.191881</v>
      </c>
      <c r="BJ621" s="252">
        <f>_xll.ciqfunctions.udf.CIQAVG("$"&amp;$A621,"IQ_LASTSALEPRICE",BJ$612,BJ$613)</f>
        <v>0.18033099999999999</v>
      </c>
      <c r="BK621" s="252">
        <f>_xll.ciqfunctions.udf.CIQAVG("$"&amp;$A621,"IQ_LASTSALEPRICE",BK$612,BK$613)*($CJ$2-BK$612)/(BK$613-BK$612)+_xll.ciqfunctions.udf.CIQ("$"&amp;$A621,"IQ_LASTSALEPRICE",$CJ$2)*(1-($CJ$2-BK$612)/(BK$613-BK$612))</f>
        <v>0.17120099999999999</v>
      </c>
      <c r="BL621" s="252">
        <f>_xll.ciqfunctions.udf.CIQ("$"&amp;$A621,"IQ_LASTSALEPRICE",$CJ$2)</f>
        <v>0.16168399999999999</v>
      </c>
      <c r="BM621" s="252">
        <f>_xll.ciqfunctions.udf.CIQ("$"&amp;$A621,"IQ_LASTSALEPRICE",$CJ$2)</f>
        <v>0.16168399999999999</v>
      </c>
      <c r="BN621" s="252">
        <f>_xll.ciqfunctions.udf.CIQ("$"&amp;$A621,"IQ_LASTSALEPRICE",$CJ$2)</f>
        <v>0.16168399999999999</v>
      </c>
      <c r="BO621" s="252">
        <f>_xll.ciqfunctions.udf.CIQ("$"&amp;$A621,"IQ_LASTSALEPRICE",$CJ$2)</f>
        <v>0.16168399999999999</v>
      </c>
      <c r="BU621" s="252">
        <f>_xll.ciqfunctions.udf.CIQAVG("$"&amp;$A621,"IQ_LASTSALEPRICE",BU$612,BU$613)</f>
        <v>0.59943000000000002</v>
      </c>
      <c r="BV621" s="252">
        <f>_xll.ciqfunctions.udf.CIQAVG("$"&amp;$A621,"IQ_LASTSALEPRICE",BV$612,BV$613)</f>
        <v>0.51395400000000002</v>
      </c>
      <c r="BW621" s="252">
        <f>_xll.ciqfunctions.udf.CIQAVG("$"&amp;$A621,"IQ_LASTSALEPRICE",BW$612,BW$613)</f>
        <v>0.46501900000000002</v>
      </c>
      <c r="BX621" s="252">
        <f>_xll.ciqfunctions.udf.CIQAVG("$"&amp;$A621,"IQ_LASTSALEPRICE",BX$612,BX$613)</f>
        <v>0.42562800000000001</v>
      </c>
      <c r="BY621" s="252">
        <f>_xll.ciqfunctions.udf.CIQAVG("$"&amp;$A621,"IQ_LASTSALEPRICE",BY$612,BY$613)</f>
        <v>0.304591</v>
      </c>
      <c r="BZ621" s="252">
        <f>_xll.ciqfunctions.udf.CIQAVG("$"&amp;$A621,"IQ_LASTSALEPRICE",BZ$612,BZ$613)</f>
        <v>0.28841299999999997</v>
      </c>
      <c r="CA621" s="252">
        <f>_xll.ciqfunctions.udf.CIQAVG("$"&amp;$A621,"IQ_LASTSALEPRICE",CA$612,CA$613)</f>
        <v>0.31325799999999998</v>
      </c>
      <c r="CB621" s="252">
        <f>_xll.ciqfunctions.udf.CIQAVG("$"&amp;$A621,"IQ_LASTSALEPRICE",CB$612,CB$613)</f>
        <v>0.27540799999999999</v>
      </c>
      <c r="CC621" s="252">
        <f>_xll.ciqfunctions.udf.CIQAVG("$"&amp;$A621,"IQ_LASTSALEPRICE",CC$612,CC$613)</f>
        <v>0.25396600000000003</v>
      </c>
      <c r="CD621" s="252">
        <f>_xll.ciqfunctions.udf.CIQAVG("$"&amp;$A621,"IQ_LASTSALEPRICE",CD$612,CD$613)</f>
        <v>0.195798</v>
      </c>
      <c r="CE621" s="252">
        <f>_xll.ciqfunctions.udf.CIQAVG("$"&amp;$A621,"IQ_LASTSALEPRICE",CE$612,CE$613)</f>
        <v>0.18565499999999999</v>
      </c>
      <c r="CF621" s="252">
        <f>_xll.ciqfunctions.udf.CIQAVG("$"&amp;$A621,"IQ_LASTSALEPRICE",CF$612,CF$613)</f>
        <v>0.19402</v>
      </c>
      <c r="CG621" s="252">
        <f>_xll.ciqfunctions.udf.CIQAVG("$"&amp;$A621,"IQ_LASTSALEPRICE",CG$612,CG$613)</f>
        <v>0.20041800000000001</v>
      </c>
      <c r="CH621" s="184">
        <f t="shared" si="994"/>
        <v>0.18635200000000002</v>
      </c>
      <c r="CI621" s="184">
        <f t="shared" si="995"/>
        <v>0.16168399999999999</v>
      </c>
    </row>
    <row r="622" spans="1:91" s="76" customFormat="1" x14ac:dyDescent="0.2">
      <c r="B622" s="60"/>
      <c r="D622" s="95"/>
      <c r="E622" s="95"/>
      <c r="F622" s="95"/>
      <c r="G622" s="95"/>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c r="AH622" s="57"/>
      <c r="AI622" s="57"/>
      <c r="AJ622" s="57"/>
      <c r="AK622" s="57"/>
      <c r="AL622" s="57"/>
      <c r="AM622" s="57"/>
      <c r="AN622" s="57"/>
      <c r="AO622" s="57"/>
      <c r="AP622" s="57"/>
      <c r="AQ622" s="57"/>
      <c r="AR622" s="57"/>
      <c r="AS622" s="57"/>
      <c r="AT622" s="57"/>
      <c r="AU622" s="57"/>
      <c r="AV622" s="57"/>
      <c r="AW622" s="57"/>
      <c r="AX622" s="57"/>
      <c r="AY622" s="57"/>
      <c r="AZ622" s="57"/>
      <c r="BA622" s="57"/>
      <c r="BB622" s="57"/>
      <c r="BC622" s="57"/>
      <c r="BD622" s="57"/>
      <c r="BE622" s="57"/>
      <c r="BF622" s="57"/>
      <c r="BG622" s="57"/>
      <c r="BH622" s="57"/>
      <c r="BI622" s="57"/>
      <c r="BJ622" s="57"/>
      <c r="BK622" s="57"/>
      <c r="BL622" s="57"/>
      <c r="BM622" s="57"/>
      <c r="BN622" s="57"/>
      <c r="BO622" s="57"/>
    </row>
    <row r="623" spans="1:91" s="76" customFormat="1" x14ac:dyDescent="0.2">
      <c r="B623" s="62" t="s">
        <v>17</v>
      </c>
      <c r="D623" s="95"/>
      <c r="E623" s="95"/>
      <c r="F623" s="95"/>
      <c r="G623" s="95"/>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c r="AR623" s="57"/>
      <c r="AS623" s="57"/>
      <c r="AT623" s="57"/>
      <c r="AU623" s="57"/>
      <c r="AV623" s="57"/>
      <c r="AW623" s="57"/>
      <c r="AX623" s="57"/>
      <c r="AY623" s="57"/>
      <c r="AZ623" s="57"/>
      <c r="BA623" s="57"/>
      <c r="BB623" s="57"/>
      <c r="BC623" s="57"/>
      <c r="BD623" s="57"/>
      <c r="BE623" s="57"/>
      <c r="BF623" s="57"/>
      <c r="BG623" s="57"/>
      <c r="BH623" s="57"/>
      <c r="BI623" s="57"/>
      <c r="BJ623" s="57"/>
      <c r="BK623" s="57"/>
      <c r="BL623" s="57"/>
      <c r="BM623" s="57"/>
      <c r="BN623" s="57"/>
      <c r="BO623" s="57"/>
    </row>
    <row r="624" spans="1:91" s="76" customFormat="1" x14ac:dyDescent="0.2">
      <c r="B624" s="60" t="s">
        <v>225</v>
      </c>
      <c r="C624" s="106"/>
      <c r="D624" s="106"/>
      <c r="E624" s="106"/>
      <c r="F624" s="106"/>
      <c r="G624" s="106"/>
      <c r="H624" s="106">
        <f t="shared" ref="H624:H629" si="996">+H616/D616-1</f>
        <v>2.699908876552426E-2</v>
      </c>
      <c r="I624" s="106">
        <f t="shared" ref="I624:AU629" si="997">+I616/E616-1</f>
        <v>9.3826413656843188E-2</v>
      </c>
      <c r="J624" s="106">
        <f t="shared" si="997"/>
        <v>3.9066142440103979E-2</v>
      </c>
      <c r="K624" s="106">
        <f t="shared" si="997"/>
        <v>-5.1215903246478733E-3</v>
      </c>
      <c r="L624" s="106">
        <f t="shared" si="997"/>
        <v>-1.9141743562077651E-2</v>
      </c>
      <c r="M624" s="106">
        <f t="shared" si="997"/>
        <v>-2.9840652424365177E-2</v>
      </c>
      <c r="N624" s="106">
        <f t="shared" si="997"/>
        <v>-1.9228453866729556E-2</v>
      </c>
      <c r="O624" s="106">
        <f t="shared" si="997"/>
        <v>2.0884957552889549E-2</v>
      </c>
      <c r="P624" s="106">
        <f t="shared" si="997"/>
        <v>-1.2067835021357554E-2</v>
      </c>
      <c r="Q624" s="106">
        <f t="shared" si="997"/>
        <v>-2.9500838655774575E-2</v>
      </c>
      <c r="R624" s="106">
        <f t="shared" si="997"/>
        <v>-1.8596151302863295E-2</v>
      </c>
      <c r="S624" s="106">
        <f t="shared" si="997"/>
        <v>8.4403192011501815E-3</v>
      </c>
      <c r="T624" s="106">
        <f t="shared" si="997"/>
        <v>6.6671907510279071E-2</v>
      </c>
      <c r="U624" s="106">
        <f t="shared" si="997"/>
        <v>9.6141936618227897E-2</v>
      </c>
      <c r="V624" s="106">
        <f t="shared" si="997"/>
        <v>7.6258318347788068E-2</v>
      </c>
      <c r="W624" s="106">
        <f t="shared" si="997"/>
        <v>-2.2702693354596626E-2</v>
      </c>
      <c r="X624" s="106">
        <f t="shared" si="997"/>
        <v>-8.5221417171383984E-2</v>
      </c>
      <c r="Y624" s="106">
        <f t="shared" si="997"/>
        <v>-8.9331840984000044E-2</v>
      </c>
      <c r="Z624" s="106">
        <f t="shared" si="997"/>
        <v>-7.2093941389075322E-2</v>
      </c>
      <c r="AA624" s="106">
        <f t="shared" si="997"/>
        <v>-4.1043365931408893E-2</v>
      </c>
      <c r="AB624" s="106">
        <f t="shared" si="997"/>
        <v>-5.4298068820873957E-2</v>
      </c>
      <c r="AC624" s="106">
        <f t="shared" si="997"/>
        <v>-6.4281445954162186E-2</v>
      </c>
      <c r="AD624" s="106">
        <f t="shared" si="997"/>
        <v>-0.15221215969567525</v>
      </c>
      <c r="AE624" s="106">
        <f t="shared" si="997"/>
        <v>-0.18129789983781031</v>
      </c>
      <c r="AF624" s="106">
        <f t="shared" si="997"/>
        <v>-0.13506889260685828</v>
      </c>
      <c r="AG624" s="106">
        <f t="shared" si="997"/>
        <v>-0.10830216934802439</v>
      </c>
      <c r="AH624" s="106">
        <f t="shared" si="997"/>
        <v>-3.3866061895615474E-3</v>
      </c>
      <c r="AI624" s="106">
        <f t="shared" si="997"/>
        <v>6.8527246601973069E-2</v>
      </c>
      <c r="AJ624" s="106">
        <f t="shared" si="997"/>
        <v>0.12327413466553216</v>
      </c>
      <c r="AK624" s="106">
        <f t="shared" si="997"/>
        <v>6.3918436597198536E-2</v>
      </c>
      <c r="AL624" s="106">
        <f t="shared" si="997"/>
        <v>-4.3861425404629895E-3</v>
      </c>
      <c r="AM624" s="106">
        <f t="shared" si="997"/>
        <v>-3.0956897499913261E-2</v>
      </c>
      <c r="AN624" s="106">
        <f t="shared" si="997"/>
        <v>-6.4203923101912808E-2</v>
      </c>
      <c r="AO624" s="106">
        <f t="shared" si="997"/>
        <v>-5.5489701688104409E-2</v>
      </c>
      <c r="AP624" s="106">
        <f t="shared" si="997"/>
        <v>-5.3751284607656435E-2</v>
      </c>
      <c r="AQ624" s="106">
        <f t="shared" si="997"/>
        <v>1.3620440611925577E-3</v>
      </c>
      <c r="AR624" s="106">
        <f t="shared" si="997"/>
        <v>-1.6429112347141062E-2</v>
      </c>
      <c r="AS624" s="106">
        <f t="shared" si="997"/>
        <v>-3.4454802143397911E-2</v>
      </c>
      <c r="AT624" s="106">
        <f t="shared" si="997"/>
        <v>4.7709736368038547E-2</v>
      </c>
      <c r="AU624" s="106">
        <f t="shared" si="997"/>
        <v>2.5629360259740608E-2</v>
      </c>
      <c r="AV624" s="106">
        <f t="shared" ref="AV624:AW629" si="998">+AV616/AR616-1</f>
        <v>7.647269657753597E-2</v>
      </c>
      <c r="AW624" s="106">
        <f t="shared" si="998"/>
        <v>0.12621780129350846</v>
      </c>
      <c r="AX624" s="106">
        <f t="shared" ref="AX624:AX629" si="999">+AX616/AT616-1</f>
        <v>6.7048123655855552E-2</v>
      </c>
      <c r="AY624" s="106">
        <f t="shared" ref="AY624:AY629" si="1000">+AY616/AU616-1</f>
        <v>2.04289566153395E-2</v>
      </c>
      <c r="AZ624" s="106">
        <f t="shared" ref="AZ624:BA629" si="1001">+AZ616/AV616-1</f>
        <v>-2.6641568012998995E-2</v>
      </c>
      <c r="BA624" s="106">
        <f t="shared" si="1001"/>
        <v>-0.10085947461287148</v>
      </c>
      <c r="BB624" s="106">
        <f t="shared" ref="BB624:BD629" si="1002">+BB616/AX616-1</f>
        <v>-0.14561629692937994</v>
      </c>
      <c r="BC624" s="106">
        <f t="shared" si="1002"/>
        <v>-0.12922776090572041</v>
      </c>
      <c r="BD624" s="106">
        <f t="shared" si="1002"/>
        <v>-9.4987230154572222E-2</v>
      </c>
      <c r="BE624" s="106">
        <f t="shared" ref="BE624:BE629" si="1003">+BE616/BA616-1</f>
        <v>-3.9032751701565394E-3</v>
      </c>
      <c r="BF624" s="106">
        <f t="shared" ref="BF624:BF629" si="1004">+BF616/BB616-1</f>
        <v>7.5203695605100096E-2</v>
      </c>
      <c r="BG624" s="106">
        <f t="shared" ref="BG624:BK629" si="1005">+BG616/BC616-1</f>
        <v>5.8004102745840891E-2</v>
      </c>
      <c r="BH624" s="106">
        <f t="shared" si="1005"/>
        <v>4.4198007865768218E-2</v>
      </c>
      <c r="BI624" s="106">
        <f t="shared" si="1005"/>
        <v>7.804386242422412E-3</v>
      </c>
      <c r="BJ624" s="106">
        <f t="shared" si="1005"/>
        <v>2.7426676860088817E-2</v>
      </c>
      <c r="BK624" s="106">
        <f t="shared" si="1005"/>
        <v>3.1587779080403555E-2</v>
      </c>
      <c r="BL624" s="106">
        <f t="shared" ref="BL624:BL629" si="1006">+BL616/BH616-1</f>
        <v>-1.2715596952483699E-2</v>
      </c>
      <c r="BM624" s="106">
        <f t="shared" ref="BM624:BM629" si="1007">+BM616/BI616-1</f>
        <v>-7.5909571217145366E-3</v>
      </c>
      <c r="BN624" s="106">
        <f t="shared" ref="BN624:BN629" si="1008">+BN616/BJ616-1</f>
        <v>-3.7649232879007899E-2</v>
      </c>
      <c r="BO624" s="106">
        <f t="shared" ref="BO624:BO629" si="1009">+BO616/BK616-1</f>
        <v>-2.2823740249116931E-2</v>
      </c>
      <c r="BP624" s="106"/>
      <c r="BQ624" s="106"/>
      <c r="BR624" s="106"/>
      <c r="BS624" s="106"/>
      <c r="BT624" s="106"/>
      <c r="BU624" s="106"/>
      <c r="BV624" s="106">
        <f>+BV616/BU616-1</f>
        <v>-1.2008308936845014E-2</v>
      </c>
      <c r="BW624" s="106">
        <f>+BW616/BV616-1</f>
        <v>-1.2787150885225418E-2</v>
      </c>
      <c r="BX624" s="106">
        <f t="shared" ref="BX624:CD624" si="1010">+BX616/BW616-1</f>
        <v>5.2966100340741562E-2</v>
      </c>
      <c r="BY624" s="106">
        <f t="shared" si="1010"/>
        <v>-7.2220643973883725E-2</v>
      </c>
      <c r="BZ624" s="106">
        <f t="shared" si="1010"/>
        <v>-0.11344525719370335</v>
      </c>
      <c r="CA624" s="106">
        <f t="shared" si="1010"/>
        <v>-4.8928140230312556E-2</v>
      </c>
      <c r="CB624" s="106">
        <f t="shared" si="1010"/>
        <v>3.587100158373091E-2</v>
      </c>
      <c r="CC624" s="106">
        <f t="shared" si="1010"/>
        <v>-4.3494284834642571E-2</v>
      </c>
      <c r="CD624" s="106">
        <f t="shared" si="1010"/>
        <v>5.3442180791827276E-3</v>
      </c>
      <c r="CE624" s="106">
        <f t="shared" ref="CE624:CE629" si="1011">+CE616/CD616-1</f>
        <v>7.1541413301052126E-2</v>
      </c>
      <c r="CF624" s="106">
        <f t="shared" ref="CF624:CI629" si="1012">+CF616/CE616-1</f>
        <v>-0.10083042723783897</v>
      </c>
      <c r="CG624" s="106">
        <f t="shared" si="1012"/>
        <v>5.5244777294745084E-3</v>
      </c>
      <c r="CH624" s="106">
        <f t="shared" si="1012"/>
        <v>2.7509021526229915E-2</v>
      </c>
      <c r="CI624" s="106">
        <f t="shared" si="1012"/>
        <v>-2.032995808177418E-2</v>
      </c>
    </row>
    <row r="625" spans="2:87" s="76" customFormat="1" x14ac:dyDescent="0.2">
      <c r="B625" s="60" t="s">
        <v>227</v>
      </c>
      <c r="C625" s="106"/>
      <c r="D625" s="106"/>
      <c r="E625" s="106"/>
      <c r="F625" s="106"/>
      <c r="G625" s="106"/>
      <c r="H625" s="106">
        <f t="shared" si="996"/>
        <v>-1.1106492943238622E-2</v>
      </c>
      <c r="I625" s="106">
        <f t="shared" si="997"/>
        <v>0.12995853072196728</v>
      </c>
      <c r="J625" s="106">
        <f t="shared" si="997"/>
        <v>9.4106010698895348E-2</v>
      </c>
      <c r="K625" s="106">
        <f t="shared" si="997"/>
        <v>-7.6592995214409543E-3</v>
      </c>
      <c r="L625" s="106">
        <f t="shared" si="997"/>
        <v>-4.1765712030174207E-2</v>
      </c>
      <c r="M625" s="106">
        <f t="shared" si="997"/>
        <v>-0.10829435453613145</v>
      </c>
      <c r="N625" s="106">
        <f t="shared" si="997"/>
        <v>-0.11455481753425423</v>
      </c>
      <c r="O625" s="106">
        <f t="shared" si="997"/>
        <v>-3.7868298944798595E-2</v>
      </c>
      <c r="P625" s="106">
        <f t="shared" si="997"/>
        <v>6.8844675732042671E-3</v>
      </c>
      <c r="Q625" s="106">
        <f t="shared" si="997"/>
        <v>1.7435182977476593E-2</v>
      </c>
      <c r="R625" s="106">
        <f t="shared" si="997"/>
        <v>5.8475168664544164E-2</v>
      </c>
      <c r="S625" s="106">
        <f t="shared" si="997"/>
        <v>4.9421958857683634E-2</v>
      </c>
      <c r="T625" s="106">
        <f t="shared" si="997"/>
        <v>3.8283355316539147E-2</v>
      </c>
      <c r="U625" s="106">
        <f t="shared" si="997"/>
        <v>5.0278076029402152E-2</v>
      </c>
      <c r="V625" s="106">
        <f t="shared" si="997"/>
        <v>1.7208313426797517E-4</v>
      </c>
      <c r="W625" s="106">
        <f t="shared" si="997"/>
        <v>-8.3212206366565566E-2</v>
      </c>
      <c r="X625" s="106">
        <f t="shared" si="997"/>
        <v>-0.17793267901222865</v>
      </c>
      <c r="Y625" s="106">
        <f t="shared" si="997"/>
        <v>-0.19285566887777472</v>
      </c>
      <c r="Z625" s="106">
        <f t="shared" si="997"/>
        <v>-0.16050254722227886</v>
      </c>
      <c r="AA625" s="106">
        <f t="shared" si="997"/>
        <v>-0.122497244084395</v>
      </c>
      <c r="AB625" s="106">
        <f t="shared" si="997"/>
        <v>-2.1006083651540108E-2</v>
      </c>
      <c r="AC625" s="106">
        <f t="shared" si="997"/>
        <v>2.0237143437902505E-2</v>
      </c>
      <c r="AD625" s="106">
        <f t="shared" si="997"/>
        <v>3.1775966402871614E-3</v>
      </c>
      <c r="AE625" s="106">
        <f t="shared" si="997"/>
        <v>-1.5534273089142903E-2</v>
      </c>
      <c r="AF625" s="106">
        <f t="shared" si="997"/>
        <v>-3.3889714948864946E-2</v>
      </c>
      <c r="AG625" s="106">
        <f t="shared" si="997"/>
        <v>-2.584019140620164E-2</v>
      </c>
      <c r="AH625" s="106">
        <f t="shared" si="997"/>
        <v>5.2736039340113949E-2</v>
      </c>
      <c r="AI625" s="106">
        <f t="shared" si="997"/>
        <v>9.2541535094430527E-2</v>
      </c>
      <c r="AJ625" s="106">
        <f t="shared" si="997"/>
        <v>0.15328726769715306</v>
      </c>
      <c r="AK625" s="106">
        <f t="shared" si="997"/>
        <v>8.3228195581669384E-2</v>
      </c>
      <c r="AL625" s="106">
        <f t="shared" si="997"/>
        <v>-1.029139518157407E-2</v>
      </c>
      <c r="AM625" s="106">
        <f t="shared" si="997"/>
        <v>-3.1500059842474171E-2</v>
      </c>
      <c r="AN625" s="106">
        <f t="shared" si="997"/>
        <v>-7.5997562089019421E-2</v>
      </c>
      <c r="AO625" s="106">
        <f t="shared" si="997"/>
        <v>-5.6954435947762394E-2</v>
      </c>
      <c r="AP625" s="106">
        <f t="shared" si="997"/>
        <v>-4.386234986334403E-2</v>
      </c>
      <c r="AQ625" s="106">
        <f t="shared" si="997"/>
        <v>-2.9517530059606556E-2</v>
      </c>
      <c r="AR625" s="106">
        <f t="shared" si="997"/>
        <v>-2.9237551584023747E-2</v>
      </c>
      <c r="AS625" s="106">
        <f t="shared" si="997"/>
        <v>-2.0096384341459772E-2</v>
      </c>
      <c r="AT625" s="106">
        <f t="shared" si="997"/>
        <v>5.1412519833203163E-2</v>
      </c>
      <c r="AU625" s="106">
        <f t="shared" si="997"/>
        <v>7.7054720293614043E-2</v>
      </c>
      <c r="AV625" s="106">
        <f t="shared" si="998"/>
        <v>9.3377095342031424E-2</v>
      </c>
      <c r="AW625" s="106">
        <f t="shared" si="998"/>
        <v>9.3954228335280998E-2</v>
      </c>
      <c r="AX625" s="106">
        <f t="shared" si="999"/>
        <v>8.5548248784572678E-3</v>
      </c>
      <c r="AY625" s="106">
        <f t="shared" si="1000"/>
        <v>-4.1082417218459732E-2</v>
      </c>
      <c r="AZ625" s="106">
        <f t="shared" si="1001"/>
        <v>-6.8773656760627078E-2</v>
      </c>
      <c r="BA625" s="106">
        <f t="shared" si="1001"/>
        <v>-0.11590449533334002</v>
      </c>
      <c r="BB625" s="106">
        <f t="shared" si="1002"/>
        <v>-0.14500933472781685</v>
      </c>
      <c r="BC625" s="106">
        <f t="shared" si="1002"/>
        <v>-0.10696107398277954</v>
      </c>
      <c r="BD625" s="106">
        <f t="shared" si="1002"/>
        <v>-4.4475608713006931E-2</v>
      </c>
      <c r="BE625" s="106">
        <f t="shared" si="1003"/>
        <v>2.1980425957013772E-2</v>
      </c>
      <c r="BF625" s="106">
        <f t="shared" si="1004"/>
        <v>7.98452342568019E-2</v>
      </c>
      <c r="BG625" s="106">
        <f t="shared" si="1005"/>
        <v>5.3925019607228952E-2</v>
      </c>
      <c r="BH625" s="106">
        <f t="shared" si="1005"/>
        <v>1.2246724789034547E-2</v>
      </c>
      <c r="BI625" s="106">
        <f t="shared" si="1005"/>
        <v>-1.1170469317727694E-2</v>
      </c>
      <c r="BJ625" s="106">
        <f t="shared" si="1005"/>
        <v>9.760606068958122E-3</v>
      </c>
      <c r="BK625" s="106">
        <f t="shared" si="1005"/>
        <v>-9.2606614200733128E-3</v>
      </c>
      <c r="BL625" s="106">
        <f t="shared" si="1006"/>
        <v>-4.6316084245899058E-2</v>
      </c>
      <c r="BM625" s="106">
        <f t="shared" si="1007"/>
        <v>-3.812192475212195E-2</v>
      </c>
      <c r="BN625" s="106">
        <f t="shared" si="1008"/>
        <v>-5.8027570306465104E-2</v>
      </c>
      <c r="BO625" s="106">
        <f t="shared" si="1009"/>
        <v>-2.9171624877041169E-2</v>
      </c>
      <c r="BP625" s="106"/>
      <c r="BQ625" s="106"/>
      <c r="BR625" s="106"/>
      <c r="BS625" s="106"/>
      <c r="BT625" s="106"/>
      <c r="BU625" s="106"/>
      <c r="BV625" s="106">
        <f t="shared" ref="BV625:CD629" si="1013">+BV617/BU617-1</f>
        <v>-7.6537900513441448E-2</v>
      </c>
      <c r="BW625" s="106">
        <f t="shared" si="1013"/>
        <v>3.2934359931560131E-2</v>
      </c>
      <c r="BX625" s="106">
        <f t="shared" si="1013"/>
        <v>2.4696061505258271E-4</v>
      </c>
      <c r="BY625" s="106">
        <f t="shared" si="1013"/>
        <v>-0.16426202977097804</v>
      </c>
      <c r="BZ625" s="106">
        <f t="shared" si="1013"/>
        <v>-3.2947326609964467E-3</v>
      </c>
      <c r="CA625" s="106">
        <f t="shared" si="1013"/>
        <v>2.1239852918717661E-2</v>
      </c>
      <c r="CB625" s="106">
        <f t="shared" si="1013"/>
        <v>4.4864937089805101E-2</v>
      </c>
      <c r="CC625" s="106">
        <f t="shared" si="1013"/>
        <v>-5.1909502415724895E-2</v>
      </c>
      <c r="CD625" s="106">
        <f t="shared" si="1013"/>
        <v>1.9641628926941213E-2</v>
      </c>
      <c r="CE625" s="106">
        <f t="shared" si="1011"/>
        <v>3.6316282362051977E-2</v>
      </c>
      <c r="CF625" s="106">
        <f t="shared" si="1012"/>
        <v>-0.10919613104144377</v>
      </c>
      <c r="CG625" s="106">
        <f t="shared" si="1012"/>
        <v>2.6282525764391274E-2</v>
      </c>
      <c r="CH625" s="106">
        <f t="shared" si="1012"/>
        <v>3.4905998838619112E-4</v>
      </c>
      <c r="CI625" s="106">
        <f t="shared" si="1012"/>
        <v>-4.3027544857043964E-2</v>
      </c>
    </row>
    <row r="626" spans="2:87" s="76" customFormat="1" x14ac:dyDescent="0.2">
      <c r="B626" s="60" t="s">
        <v>229</v>
      </c>
      <c r="C626" s="106"/>
      <c r="D626" s="106"/>
      <c r="E626" s="106"/>
      <c r="F626" s="106"/>
      <c r="G626" s="106"/>
      <c r="H626" s="106">
        <f t="shared" si="996"/>
        <v>0.10327615936110357</v>
      </c>
      <c r="I626" s="106">
        <f t="shared" si="997"/>
        <v>0.1287502300754646</v>
      </c>
      <c r="J626" s="106">
        <f t="shared" si="997"/>
        <v>0.10432395332875766</v>
      </c>
      <c r="K626" s="106">
        <f t="shared" si="997"/>
        <v>6.7590987868284325E-2</v>
      </c>
      <c r="L626" s="106">
        <f t="shared" si="997"/>
        <v>3.7920539606810966E-2</v>
      </c>
      <c r="M626" s="106">
        <f t="shared" si="997"/>
        <v>1.8344883815735846E-2</v>
      </c>
      <c r="N626" s="106">
        <f t="shared" si="997"/>
        <v>-1.1886264760720966E-2</v>
      </c>
      <c r="O626" s="106">
        <f t="shared" si="997"/>
        <v>-4.8005565862708766E-2</v>
      </c>
      <c r="P626" s="106">
        <f t="shared" si="997"/>
        <v>-0.14059280393089246</v>
      </c>
      <c r="Q626" s="106">
        <f t="shared" si="997"/>
        <v>-0.18959167333867089</v>
      </c>
      <c r="R626" s="106">
        <f t="shared" si="997"/>
        <v>-0.20473307649972472</v>
      </c>
      <c r="S626" s="106">
        <f t="shared" si="997"/>
        <v>-0.19131140885099462</v>
      </c>
      <c r="T626" s="106">
        <f t="shared" si="997"/>
        <v>-0.10282183696053115</v>
      </c>
      <c r="U626" s="106">
        <f t="shared" si="997"/>
        <v>-3.2207073700849742E-2</v>
      </c>
      <c r="V626" s="106">
        <f t="shared" si="997"/>
        <v>-4.8541769649036115E-2</v>
      </c>
      <c r="W626" s="106">
        <f t="shared" si="997"/>
        <v>-0.12200020082337593</v>
      </c>
      <c r="X626" s="106">
        <f t="shared" si="997"/>
        <v>-0.13732141021687738</v>
      </c>
      <c r="Y626" s="106">
        <f t="shared" si="997"/>
        <v>-0.15863617803184971</v>
      </c>
      <c r="Z626" s="106">
        <f t="shared" si="997"/>
        <v>-0.14921030756442222</v>
      </c>
      <c r="AA626" s="106">
        <f t="shared" si="997"/>
        <v>-5.7982616651418128E-2</v>
      </c>
      <c r="AB626" s="106">
        <f t="shared" si="997"/>
        <v>3.3599428094841066E-2</v>
      </c>
      <c r="AC626" s="106">
        <f t="shared" si="997"/>
        <v>0.12436301868478528</v>
      </c>
      <c r="AD626" s="106">
        <f t="shared" si="997"/>
        <v>0.19320957498778668</v>
      </c>
      <c r="AE626" s="106">
        <f t="shared" si="997"/>
        <v>0.11181255311399774</v>
      </c>
      <c r="AF626" s="106">
        <f t="shared" si="997"/>
        <v>1.394812680115276E-2</v>
      </c>
      <c r="AG626" s="106">
        <f t="shared" si="997"/>
        <v>-2.8380274090859969E-2</v>
      </c>
      <c r="AH626" s="106">
        <f t="shared" si="997"/>
        <v>-7.7072671443193297E-2</v>
      </c>
      <c r="AI626" s="106">
        <f t="shared" si="997"/>
        <v>-3.2539855863725653E-2</v>
      </c>
      <c r="AJ626" s="106">
        <f t="shared" si="997"/>
        <v>5.0363801728058322E-2</v>
      </c>
      <c r="AK626" s="106">
        <f t="shared" si="997"/>
        <v>1.7769880053309706E-2</v>
      </c>
      <c r="AL626" s="106">
        <f t="shared" si="997"/>
        <v>-5.1014749916824531E-3</v>
      </c>
      <c r="AM626" s="106">
        <f t="shared" si="997"/>
        <v>1.6930022573362624E-3</v>
      </c>
      <c r="AN626" s="106">
        <f t="shared" si="997"/>
        <v>-1.7209654724537393E-2</v>
      </c>
      <c r="AO626" s="106">
        <f t="shared" si="997"/>
        <v>-6.9838498472282184E-3</v>
      </c>
      <c r="AP626" s="106">
        <f t="shared" si="997"/>
        <v>3.8903132315238009E-2</v>
      </c>
      <c r="AQ626" s="106">
        <f t="shared" si="997"/>
        <v>3.6394366197183059E-2</v>
      </c>
      <c r="AR626" s="106">
        <f t="shared" si="997"/>
        <v>1.0792951541850337E-2</v>
      </c>
      <c r="AS626" s="106">
        <f t="shared" si="997"/>
        <v>2.1758241758241814E-2</v>
      </c>
      <c r="AT626" s="106">
        <f t="shared" si="997"/>
        <v>1.1158798283261717E-2</v>
      </c>
      <c r="AU626" s="106">
        <f t="shared" si="997"/>
        <v>4.0987171124157395E-2</v>
      </c>
      <c r="AV626" s="106">
        <f t="shared" si="998"/>
        <v>2.8110699498801406E-2</v>
      </c>
      <c r="AW626" s="106">
        <f t="shared" si="998"/>
        <v>-1.7315551731555301E-2</v>
      </c>
      <c r="AX626" s="106">
        <f t="shared" si="999"/>
        <v>-3.6184210526315708E-2</v>
      </c>
      <c r="AY626" s="106">
        <f t="shared" si="1000"/>
        <v>-8.0731070496083523E-2</v>
      </c>
      <c r="AZ626" s="106">
        <f t="shared" si="1001"/>
        <v>-8.7855023314963976E-2</v>
      </c>
      <c r="BA626" s="106">
        <f t="shared" si="1001"/>
        <v>-0.15519317062493154</v>
      </c>
      <c r="BB626" s="106">
        <f t="shared" si="1002"/>
        <v>-0.20268633711328865</v>
      </c>
      <c r="BC626" s="106">
        <f t="shared" si="1002"/>
        <v>-0.19438763917291535</v>
      </c>
      <c r="BD626" s="106">
        <f t="shared" si="1002"/>
        <v>-0.1217613570349716</v>
      </c>
      <c r="BE626" s="106">
        <f t="shared" si="1003"/>
        <v>-5.6095349138489459E-2</v>
      </c>
      <c r="BF626" s="106">
        <f t="shared" si="1004"/>
        <v>-4.4186688760011084E-2</v>
      </c>
      <c r="BG626" s="106">
        <f t="shared" si="1005"/>
        <v>-4.4704555069806862E-2</v>
      </c>
      <c r="BH626" s="106">
        <f t="shared" si="1005"/>
        <v>-0.10874454292895885</v>
      </c>
      <c r="BI626" s="106">
        <f t="shared" si="1005"/>
        <v>-0.11940708207521278</v>
      </c>
      <c r="BJ626" s="106">
        <f t="shared" si="1005"/>
        <v>-2.8893383415197982E-2</v>
      </c>
      <c r="BK626" s="106">
        <f t="shared" si="1005"/>
        <v>-3.1296132270445587E-2</v>
      </c>
      <c r="BL626" s="106">
        <f t="shared" si="1006"/>
        <v>-5.5811191925189241E-2</v>
      </c>
      <c r="BM626" s="106">
        <f t="shared" si="1007"/>
        <v>-8.5723192019949712E-3</v>
      </c>
      <c r="BN626" s="106">
        <f t="shared" si="1008"/>
        <v>-5.3704254686105179E-2</v>
      </c>
      <c r="BO626" s="106">
        <f t="shared" si="1009"/>
        <v>-3.0630905211825765E-2</v>
      </c>
      <c r="BP626" s="106"/>
      <c r="BQ626" s="106"/>
      <c r="BR626" s="106"/>
      <c r="BS626" s="106"/>
      <c r="BT626" s="106"/>
      <c r="BU626" s="106"/>
      <c r="BV626" s="106">
        <f t="shared" si="1013"/>
        <v>-1.9902873975000679E-3</v>
      </c>
      <c r="BW626" s="106">
        <f t="shared" si="1013"/>
        <v>-0.18179642629227821</v>
      </c>
      <c r="BX626" s="106">
        <f t="shared" si="1013"/>
        <v>-7.6630593740859898E-2</v>
      </c>
      <c r="BY626" s="106">
        <f t="shared" si="1013"/>
        <v>-0.12744166402702983</v>
      </c>
      <c r="BZ626" s="106">
        <f t="shared" si="1013"/>
        <v>0.1155614714424007</v>
      </c>
      <c r="CA626" s="106">
        <f t="shared" si="1013"/>
        <v>-3.243301876559268E-2</v>
      </c>
      <c r="CB626" s="106">
        <f t="shared" si="1013"/>
        <v>1.5807174887892295E-2</v>
      </c>
      <c r="CC626" s="106">
        <f t="shared" si="1013"/>
        <v>1.2581392782253786E-2</v>
      </c>
      <c r="CD626" s="106">
        <f t="shared" si="1013"/>
        <v>2.1253405994550389E-2</v>
      </c>
      <c r="CE626" s="106">
        <f t="shared" si="1011"/>
        <v>-2.7534685165421457E-2</v>
      </c>
      <c r="CF626" s="106">
        <f t="shared" si="1012"/>
        <v>-0.15946005267778751</v>
      </c>
      <c r="CG626" s="106">
        <f t="shared" si="1012"/>
        <v>-6.8677373025199162E-2</v>
      </c>
      <c r="CH626" s="106">
        <f t="shared" si="1012"/>
        <v>-7.3426328333099589E-2</v>
      </c>
      <c r="CI626" s="106">
        <f t="shared" si="1012"/>
        <v>-3.7560994061353381E-2</v>
      </c>
    </row>
    <row r="627" spans="2:87" s="76" customFormat="1" x14ac:dyDescent="0.2">
      <c r="B627" s="60" t="s">
        <v>231</v>
      </c>
      <c r="C627" s="106"/>
      <c r="D627" s="106"/>
      <c r="E627" s="106"/>
      <c r="F627" s="106"/>
      <c r="G627" s="106"/>
      <c r="H627" s="106">
        <f t="shared" si="996"/>
        <v>0.11295981865153082</v>
      </c>
      <c r="I627" s="106">
        <f t="shared" si="997"/>
        <v>0.20309728452750075</v>
      </c>
      <c r="J627" s="106">
        <f t="shared" si="997"/>
        <v>0.16255542516869492</v>
      </c>
      <c r="K627" s="106">
        <f t="shared" si="997"/>
        <v>2.5642245480494763E-2</v>
      </c>
      <c r="L627" s="106">
        <f t="shared" si="997"/>
        <v>4.9387971055426805E-2</v>
      </c>
      <c r="M627" s="106">
        <f t="shared" si="997"/>
        <v>-4.9734719934063532E-2</v>
      </c>
      <c r="N627" s="106">
        <f t="shared" si="997"/>
        <v>-1.1025371960031283E-2</v>
      </c>
      <c r="O627" s="106">
        <f t="shared" si="997"/>
        <v>2.4530407895996476E-2</v>
      </c>
      <c r="P627" s="106">
        <f t="shared" si="997"/>
        <v>-1.5766209741008175E-2</v>
      </c>
      <c r="Q627" s="106">
        <f t="shared" si="997"/>
        <v>-1.9502385693167867E-2</v>
      </c>
      <c r="R627" s="106">
        <f t="shared" si="997"/>
        <v>-0.119250778234821</v>
      </c>
      <c r="S627" s="106">
        <f t="shared" si="997"/>
        <v>-0.10701849192152424</v>
      </c>
      <c r="T627" s="106">
        <f t="shared" si="997"/>
        <v>-0.1365331063462657</v>
      </c>
      <c r="U627" s="106">
        <f t="shared" si="997"/>
        <v>-5.7980454052481978E-2</v>
      </c>
      <c r="V627" s="106">
        <f t="shared" si="997"/>
        <v>1.0277784149057334E-2</v>
      </c>
      <c r="W627" s="106">
        <f t="shared" si="997"/>
        <v>-7.7603745294111293E-2</v>
      </c>
      <c r="X627" s="106">
        <f t="shared" si="997"/>
        <v>-0.12253411810361559</v>
      </c>
      <c r="Y627" s="106">
        <f t="shared" si="997"/>
        <v>-0.16656214993595009</v>
      </c>
      <c r="Z627" s="106">
        <f t="shared" si="997"/>
        <v>-0.215401031593218</v>
      </c>
      <c r="AA627" s="106">
        <f t="shared" si="997"/>
        <v>-0.15786894697511022</v>
      </c>
      <c r="AB627" s="106">
        <f t="shared" si="997"/>
        <v>-8.220807592739221E-2</v>
      </c>
      <c r="AC627" s="106">
        <f t="shared" si="997"/>
        <v>-4.1105616185521221E-2</v>
      </c>
      <c r="AD627" s="106">
        <f t="shared" si="997"/>
        <v>4.470771740688062E-2</v>
      </c>
      <c r="AE627" s="106">
        <f t="shared" si="997"/>
        <v>3.9741868109435252E-2</v>
      </c>
      <c r="AF627" s="106">
        <f t="shared" si="997"/>
        <v>4.9089481577077931E-2</v>
      </c>
      <c r="AG627" s="106">
        <f t="shared" si="997"/>
        <v>7.1962614315261852E-3</v>
      </c>
      <c r="AH627" s="106">
        <f t="shared" si="997"/>
        <v>4.1177448158885355E-2</v>
      </c>
      <c r="AI627" s="106">
        <f t="shared" si="997"/>
        <v>2.6879386682515882E-2</v>
      </c>
      <c r="AJ627" s="106">
        <f t="shared" si="997"/>
        <v>3.7402556947923715E-2</v>
      </c>
      <c r="AK627" s="106">
        <f t="shared" si="997"/>
        <v>7.7800905857174918E-3</v>
      </c>
      <c r="AL627" s="106">
        <f t="shared" si="997"/>
        <v>-7.340746539785814E-2</v>
      </c>
      <c r="AM627" s="106">
        <f t="shared" si="997"/>
        <v>-6.7354716195827447E-2</v>
      </c>
      <c r="AN627" s="106">
        <f t="shared" si="997"/>
        <v>-9.3596485312847033E-2</v>
      </c>
      <c r="AO627" s="106">
        <f t="shared" si="997"/>
        <v>-7.4762168426644626E-2</v>
      </c>
      <c r="AP627" s="106">
        <f t="shared" si="997"/>
        <v>-6.2640986309460356E-2</v>
      </c>
      <c r="AQ627" s="106">
        <f t="shared" si="997"/>
        <v>-4.6379984798934459E-2</v>
      </c>
      <c r="AR627" s="106">
        <f t="shared" si="997"/>
        <v>-7.5970387256525829E-2</v>
      </c>
      <c r="AS627" s="106">
        <f t="shared" si="997"/>
        <v>-6.1717498050439912E-2</v>
      </c>
      <c r="AT627" s="106">
        <f t="shared" si="997"/>
        <v>4.2636388165715022E-2</v>
      </c>
      <c r="AU627" s="106">
        <f t="shared" si="997"/>
        <v>6.9935858250536054E-2</v>
      </c>
      <c r="AV627" s="106">
        <f t="shared" si="998"/>
        <v>0.17347309255250454</v>
      </c>
      <c r="AW627" s="106">
        <f t="shared" si="998"/>
        <v>0.1717462318059626</v>
      </c>
      <c r="AX627" s="106">
        <f t="shared" si="999"/>
        <v>2.7946418079981328E-2</v>
      </c>
      <c r="AY627" s="106">
        <f t="shared" si="1000"/>
        <v>-4.2071020475110688E-3</v>
      </c>
      <c r="AZ627" s="106">
        <f t="shared" si="1001"/>
        <v>-6.2282191624766337E-2</v>
      </c>
      <c r="BA627" s="106">
        <f t="shared" si="1001"/>
        <v>-7.1558665270585853E-2</v>
      </c>
      <c r="BB627" s="106">
        <f t="shared" si="1002"/>
        <v>-6.9448564733291085E-2</v>
      </c>
      <c r="BC627" s="106">
        <f t="shared" si="1002"/>
        <v>-9.7478251082298573E-2</v>
      </c>
      <c r="BD627" s="106">
        <f t="shared" si="1002"/>
        <v>-5.6354808471513307E-2</v>
      </c>
      <c r="BE627" s="106">
        <f t="shared" si="1003"/>
        <v>-6.5334620604737714E-2</v>
      </c>
      <c r="BF627" s="106">
        <f t="shared" si="1004"/>
        <v>-4.2230905570536881E-2</v>
      </c>
      <c r="BG627" s="106">
        <f t="shared" si="1005"/>
        <v>-8.9517508839969118E-3</v>
      </c>
      <c r="BH627" s="106">
        <f t="shared" si="1005"/>
        <v>-3.7899978933077394E-2</v>
      </c>
      <c r="BI627" s="106">
        <f t="shared" si="1005"/>
        <v>-1.34925957640466E-2</v>
      </c>
      <c r="BJ627" s="106">
        <f t="shared" si="1005"/>
        <v>2.2980941591061121E-2</v>
      </c>
      <c r="BK627" s="106">
        <f t="shared" si="1005"/>
        <v>6.0156006623302005E-4</v>
      </c>
      <c r="BL627" s="106">
        <f t="shared" si="1006"/>
        <v>-5.8969329258093506E-2</v>
      </c>
      <c r="BM627" s="106">
        <f t="shared" si="1007"/>
        <v>-6.0901419308237004E-2</v>
      </c>
      <c r="BN627" s="106">
        <f t="shared" si="1008"/>
        <v>-7.6322604237408331E-2</v>
      </c>
      <c r="BO627" s="106">
        <f t="shared" si="1009"/>
        <v>-5.0888684740449497E-2</v>
      </c>
      <c r="BP627" s="106"/>
      <c r="BQ627" s="106"/>
      <c r="BR627" s="106"/>
      <c r="BS627" s="106"/>
      <c r="BT627" s="106"/>
      <c r="BU627" s="106"/>
      <c r="BV627" s="106">
        <f t="shared" si="1013"/>
        <v>2.3837267821333885E-3</v>
      </c>
      <c r="BW627" s="106">
        <f t="shared" si="1013"/>
        <v>-6.5959010117609185E-2</v>
      </c>
      <c r="BX627" s="106">
        <f t="shared" si="1013"/>
        <v>-6.7230443537550033E-2</v>
      </c>
      <c r="BY627" s="106">
        <f t="shared" si="1013"/>
        <v>-0.16631629107955204</v>
      </c>
      <c r="BZ627" s="106">
        <f t="shared" si="1013"/>
        <v>-1.1411868076944165E-2</v>
      </c>
      <c r="CA627" s="106">
        <f t="shared" si="1013"/>
        <v>3.1033935635509824E-2</v>
      </c>
      <c r="CB627" s="106">
        <f t="shared" si="1013"/>
        <v>-2.5060577843507015E-2</v>
      </c>
      <c r="CC627" s="106">
        <f t="shared" si="1013"/>
        <v>-6.9793168763694458E-2</v>
      </c>
      <c r="CD627" s="106">
        <f t="shared" si="1013"/>
        <v>-6.8795828533875225E-3</v>
      </c>
      <c r="CE627" s="106">
        <f t="shared" si="1011"/>
        <v>8.7799573418746224E-2</v>
      </c>
      <c r="CF627" s="106">
        <f t="shared" si="1012"/>
        <v>-7.50224295233759E-2</v>
      </c>
      <c r="CG627" s="106">
        <f t="shared" si="1012"/>
        <v>-4.3849171514012464E-2</v>
      </c>
      <c r="CH627" s="106">
        <f t="shared" si="1012"/>
        <v>-7.1563277002824055E-3</v>
      </c>
      <c r="CI627" s="106">
        <f t="shared" si="1012"/>
        <v>-6.1861292360540165E-2</v>
      </c>
    </row>
    <row r="628" spans="2:87" s="76" customFormat="1" x14ac:dyDescent="0.2">
      <c r="B628" s="60" t="s">
        <v>233</v>
      </c>
      <c r="C628" s="106"/>
      <c r="D628" s="106"/>
      <c r="E628" s="106"/>
      <c r="F628" s="106"/>
      <c r="G628" s="106"/>
      <c r="H628" s="106">
        <f t="shared" si="996"/>
        <v>1.4736262222834196E-2</v>
      </c>
      <c r="I628" s="106">
        <f t="shared" si="997"/>
        <v>2.0752565564424286E-2</v>
      </c>
      <c r="J628" s="106">
        <f t="shared" si="997"/>
        <v>1.6723184837645677E-2</v>
      </c>
      <c r="K628" s="106">
        <f t="shared" si="997"/>
        <v>-0.11621548942273208</v>
      </c>
      <c r="L628" s="106">
        <f t="shared" si="997"/>
        <v>-9.9212812160694774E-2</v>
      </c>
      <c r="M628" s="106">
        <f t="shared" si="997"/>
        <v>-0.17140303842716709</v>
      </c>
      <c r="N628" s="106">
        <f t="shared" si="997"/>
        <v>-0.17092337917485267</v>
      </c>
      <c r="O628" s="106">
        <f t="shared" si="997"/>
        <v>-6.3593488513616347E-2</v>
      </c>
      <c r="P628" s="106">
        <f t="shared" si="997"/>
        <v>-7.3125408065893294E-2</v>
      </c>
      <c r="Q628" s="106">
        <f t="shared" si="997"/>
        <v>-3.3433994823123481E-2</v>
      </c>
      <c r="R628" s="106">
        <f t="shared" si="997"/>
        <v>-0.11038245343326336</v>
      </c>
      <c r="S628" s="106">
        <f t="shared" si="997"/>
        <v>-0.12618467370701325</v>
      </c>
      <c r="T628" s="106">
        <f t="shared" si="997"/>
        <v>-0.12213492278515303</v>
      </c>
      <c r="U628" s="106">
        <f t="shared" si="997"/>
        <v>-6.6670386074536792E-2</v>
      </c>
      <c r="V628" s="106">
        <f t="shared" si="997"/>
        <v>2.2610419376819513E-2</v>
      </c>
      <c r="W628" s="106">
        <f t="shared" si="997"/>
        <v>3.7186241090791938E-4</v>
      </c>
      <c r="X628" s="106">
        <f t="shared" si="997"/>
        <v>-8.1476452070859962E-3</v>
      </c>
      <c r="Y628" s="106">
        <f t="shared" si="997"/>
        <v>-5.726582581146511E-2</v>
      </c>
      <c r="Z628" s="106">
        <f t="shared" si="997"/>
        <v>-6.7482432759873978E-2</v>
      </c>
      <c r="AA628" s="106">
        <f t="shared" si="997"/>
        <v>-5.9909547116039796E-2</v>
      </c>
      <c r="AB628" s="106">
        <f t="shared" si="997"/>
        <v>-7.7478374509925896E-2</v>
      </c>
      <c r="AC628" s="106">
        <f t="shared" si="997"/>
        <v>-5.2184389068543613E-2</v>
      </c>
      <c r="AD628" s="106">
        <f t="shared" si="997"/>
        <v>-2.994673249317914E-2</v>
      </c>
      <c r="AE628" s="106">
        <f t="shared" si="997"/>
        <v>-2.2604454988796596E-2</v>
      </c>
      <c r="AF628" s="106">
        <f t="shared" si="997"/>
        <v>7.4878575283323645E-3</v>
      </c>
      <c r="AG628" s="106">
        <f t="shared" si="997"/>
        <v>3.7663901525287757E-2</v>
      </c>
      <c r="AH628" s="106">
        <f t="shared" si="997"/>
        <v>4.1786647023370982E-2</v>
      </c>
      <c r="AI628" s="106">
        <f t="shared" si="997"/>
        <v>4.1669476097363489E-2</v>
      </c>
      <c r="AJ628" s="106">
        <f t="shared" si="997"/>
        <v>4.0040174087713432E-2</v>
      </c>
      <c r="AK628" s="106">
        <f t="shared" si="997"/>
        <v>-3.7715169879440458E-2</v>
      </c>
      <c r="AL628" s="106">
        <f t="shared" si="997"/>
        <v>-8.2406633669730667E-2</v>
      </c>
      <c r="AM628" s="106">
        <f t="shared" si="997"/>
        <v>-0.10104213864975076</v>
      </c>
      <c r="AN628" s="106">
        <f t="shared" si="997"/>
        <v>-8.6139187536213302E-2</v>
      </c>
      <c r="AO628" s="106">
        <f t="shared" si="997"/>
        <v>-3.6446469248291535E-2</v>
      </c>
      <c r="AP628" s="106">
        <f t="shared" si="997"/>
        <v>-4.1330998248686468E-3</v>
      </c>
      <c r="AQ628" s="106">
        <f t="shared" si="997"/>
        <v>1.1088709677419484E-2</v>
      </c>
      <c r="AR628" s="106">
        <f t="shared" si="997"/>
        <v>-2.782669954209227E-2</v>
      </c>
      <c r="AS628" s="106">
        <f t="shared" si="997"/>
        <v>-8.378528716451128E-2</v>
      </c>
      <c r="AT628" s="106">
        <f t="shared" si="997"/>
        <v>-5.3671918964546927E-2</v>
      </c>
      <c r="AU628" s="106">
        <f t="shared" si="997"/>
        <v>-3.4966528984475165E-2</v>
      </c>
      <c r="AV628" s="106">
        <f t="shared" si="998"/>
        <v>-6.30434782608702E-3</v>
      </c>
      <c r="AW628" s="106">
        <f t="shared" si="998"/>
        <v>2.9141686271533684E-2</v>
      </c>
      <c r="AX628" s="106">
        <f t="shared" si="999"/>
        <v>3.4193116776928267E-3</v>
      </c>
      <c r="AY628" s="106">
        <f t="shared" si="1000"/>
        <v>-1.5275625415098526E-2</v>
      </c>
      <c r="AZ628" s="106">
        <f t="shared" si="1001"/>
        <v>-3.0482024356450088E-2</v>
      </c>
      <c r="BA628" s="106">
        <f t="shared" si="1001"/>
        <v>-4.4760710862030817E-2</v>
      </c>
      <c r="BB628" s="106">
        <f t="shared" si="1002"/>
        <v>-7.11163789910364E-2</v>
      </c>
      <c r="BC628" s="106">
        <f t="shared" si="1002"/>
        <v>-8.745503597122295E-2</v>
      </c>
      <c r="BD628" s="106">
        <f t="shared" si="1002"/>
        <v>-8.4843926288078131E-2</v>
      </c>
      <c r="BE628" s="106">
        <f t="shared" si="1003"/>
        <v>-6.03674540682414E-2</v>
      </c>
      <c r="BF628" s="106">
        <f t="shared" si="1004"/>
        <v>-3.5329771114123831E-2</v>
      </c>
      <c r="BG628" s="106">
        <f t="shared" si="1005"/>
        <v>-1.3385891434671948E-2</v>
      </c>
      <c r="BH628" s="106">
        <f t="shared" si="1005"/>
        <v>-1.0191501602695885E-2</v>
      </c>
      <c r="BI628" s="106">
        <f t="shared" si="1005"/>
        <v>-1.5116661189615521E-2</v>
      </c>
      <c r="BJ628" s="106">
        <f t="shared" si="1005"/>
        <v>-1.2979497354497438E-2</v>
      </c>
      <c r="BK628" s="106">
        <f t="shared" si="1005"/>
        <v>-1.4483103046445844E-2</v>
      </c>
      <c r="BL628" s="106">
        <f t="shared" si="1006"/>
        <v>-2.9726812256082424E-2</v>
      </c>
      <c r="BM628" s="106">
        <f t="shared" si="1007"/>
        <v>-2.52752752752754E-2</v>
      </c>
      <c r="BN628" s="106">
        <f t="shared" si="1008"/>
        <v>-2.1274813635982937E-2</v>
      </c>
      <c r="BO628" s="106">
        <f t="shared" si="1009"/>
        <v>-1.3091216216216228E-2</v>
      </c>
      <c r="BP628" s="106"/>
      <c r="BQ628" s="106"/>
      <c r="BR628" s="106"/>
      <c r="BS628" s="106"/>
      <c r="BT628" s="106"/>
      <c r="BU628" s="106"/>
      <c r="BV628" s="106">
        <f t="shared" si="1013"/>
        <v>-0.12794534554073533</v>
      </c>
      <c r="BW628" s="106">
        <f t="shared" si="1013"/>
        <v>-8.5749307183969226E-2</v>
      </c>
      <c r="BX628" s="106">
        <f t="shared" si="1013"/>
        <v>-4.4301952783445064E-2</v>
      </c>
      <c r="BY628" s="106">
        <f t="shared" si="1013"/>
        <v>-4.8551387618176234E-2</v>
      </c>
      <c r="BZ628" s="106">
        <f t="shared" si="1013"/>
        <v>-4.5836271555869001E-2</v>
      </c>
      <c r="CA628" s="106">
        <f t="shared" si="1013"/>
        <v>3.2316581564095781E-2</v>
      </c>
      <c r="CB628" s="106">
        <f t="shared" si="1013"/>
        <v>-4.6534331272372276E-2</v>
      </c>
      <c r="CC628" s="106">
        <f t="shared" si="1013"/>
        <v>-3.0170648464163841E-2</v>
      </c>
      <c r="CD628" s="106">
        <f t="shared" si="1013"/>
        <v>-5.0182995495495542E-2</v>
      </c>
      <c r="CE628" s="106">
        <f t="shared" si="1011"/>
        <v>2.4453501296777258E-3</v>
      </c>
      <c r="CF628" s="106">
        <f t="shared" si="1012"/>
        <v>-5.8397397989355504E-2</v>
      </c>
      <c r="CG628" s="106">
        <f t="shared" si="1012"/>
        <v>-4.9144292667608669E-2</v>
      </c>
      <c r="CH628" s="106">
        <f t="shared" si="1012"/>
        <v>-1.3168758256274615E-2</v>
      </c>
      <c r="CI628" s="106">
        <f t="shared" si="1012"/>
        <v>-2.238025517674147E-2</v>
      </c>
    </row>
    <row r="629" spans="2:87" s="76" customFormat="1" x14ac:dyDescent="0.2">
      <c r="B629" s="60" t="s">
        <v>235</v>
      </c>
      <c r="C629" s="106"/>
      <c r="D629" s="106"/>
      <c r="E629" s="106"/>
      <c r="F629" s="106"/>
      <c r="G629" s="106"/>
      <c r="H629" s="106">
        <f t="shared" si="996"/>
        <v>8.0683773000333359E-2</v>
      </c>
      <c r="I629" s="106">
        <f t="shared" si="997"/>
        <v>0.1240670504814414</v>
      </c>
      <c r="J629" s="106">
        <f t="shared" si="997"/>
        <v>7.5060439502769194E-2</v>
      </c>
      <c r="K629" s="106">
        <f t="shared" si="997"/>
        <v>-5.5533677349266619E-2</v>
      </c>
      <c r="L629" s="106">
        <f t="shared" si="997"/>
        <v>-5.6294972722590431E-2</v>
      </c>
      <c r="M629" s="106">
        <f t="shared" si="997"/>
        <v>-0.1847682921773296</v>
      </c>
      <c r="N629" s="106">
        <f t="shared" si="997"/>
        <v>-0.19785242631241529</v>
      </c>
      <c r="O629" s="106">
        <f t="shared" si="997"/>
        <v>-0.12659326676299965</v>
      </c>
      <c r="P629" s="106">
        <f t="shared" si="997"/>
        <v>-0.11568195586861263</v>
      </c>
      <c r="Q629" s="106">
        <f t="shared" si="997"/>
        <v>-5.3486238711557554E-2</v>
      </c>
      <c r="R629" s="106">
        <f t="shared" si="997"/>
        <v>-0.11309570900858679</v>
      </c>
      <c r="S629" s="106">
        <f t="shared" si="997"/>
        <v>-9.6105291100012868E-2</v>
      </c>
      <c r="T629" s="106">
        <f t="shared" si="997"/>
        <v>-0.15431705470792556</v>
      </c>
      <c r="U629" s="106">
        <f t="shared" si="997"/>
        <v>-7.3418914339089203E-2</v>
      </c>
      <c r="V629" s="106">
        <f t="shared" si="997"/>
        <v>3.5817946026059921E-3</v>
      </c>
      <c r="W629" s="106">
        <f t="shared" si="997"/>
        <v>-0.107272863865156</v>
      </c>
      <c r="X629" s="106">
        <f t="shared" si="997"/>
        <v>-0.17288989027287716</v>
      </c>
      <c r="Y629" s="106">
        <f t="shared" si="997"/>
        <v>-0.27521075873143308</v>
      </c>
      <c r="Z629" s="106">
        <f t="shared" si="997"/>
        <v>-0.3520535488414388</v>
      </c>
      <c r="AA629" s="106">
        <f t="shared" si="997"/>
        <v>-0.33676066322913645</v>
      </c>
      <c r="AB629" s="106">
        <f t="shared" si="997"/>
        <v>-0.26665714856800216</v>
      </c>
      <c r="AC629" s="106">
        <f t="shared" si="997"/>
        <v>-0.12356106972407621</v>
      </c>
      <c r="AD629" s="106">
        <f t="shared" si="997"/>
        <v>8.4490545331757705E-2</v>
      </c>
      <c r="AE629" s="106">
        <f t="shared" si="997"/>
        <v>0.16614632195752144</v>
      </c>
      <c r="AF629" s="106">
        <f t="shared" si="997"/>
        <v>0.23791390212752694</v>
      </c>
      <c r="AG629" s="106">
        <f t="shared" si="997"/>
        <v>9.2884778777218235E-2</v>
      </c>
      <c r="AH629" s="106">
        <f t="shared" si="997"/>
        <v>2.5661234087407614E-2</v>
      </c>
      <c r="AI629" s="106">
        <f t="shared" si="997"/>
        <v>1.4405069634944034E-2</v>
      </c>
      <c r="AJ629" s="106">
        <f t="shared" si="997"/>
        <v>-3.1044960147958878E-2</v>
      </c>
      <c r="AK629" s="106">
        <f t="shared" si="997"/>
        <v>-0.10716006707744108</v>
      </c>
      <c r="AL629" s="106">
        <f t="shared" si="997"/>
        <v>-0.19771563732264097</v>
      </c>
      <c r="AM629" s="106">
        <f t="shared" si="997"/>
        <v>-0.14622397737799242</v>
      </c>
      <c r="AN629" s="106">
        <f t="shared" si="997"/>
        <v>-0.13873126963928628</v>
      </c>
      <c r="AO629" s="106">
        <f t="shared" si="997"/>
        <v>-8.1388863902131736E-2</v>
      </c>
      <c r="AP629" s="106">
        <f t="shared" si="997"/>
        <v>-5.2973450211263318E-3</v>
      </c>
      <c r="AQ629" s="106">
        <f t="shared" si="997"/>
        <v>-7.4406971299352476E-2</v>
      </c>
      <c r="AR629" s="106">
        <f t="shared" si="997"/>
        <v>-0.14945028437465846</v>
      </c>
      <c r="AS629" s="106">
        <f t="shared" si="997"/>
        <v>-0.27098568378997667</v>
      </c>
      <c r="AT629" s="106">
        <f t="shared" si="997"/>
        <v>-0.26228364927407588</v>
      </c>
      <c r="AU629" s="106">
        <f t="shared" si="997"/>
        <v>-0.23726206340588651</v>
      </c>
      <c r="AV629" s="106">
        <f t="shared" si="998"/>
        <v>-0.18877815542369947</v>
      </c>
      <c r="AW629" s="106">
        <f t="shared" si="998"/>
        <v>1.5129942349331849E-2</v>
      </c>
      <c r="AX629" s="106">
        <f t="shared" si="999"/>
        <v>2.8209865933310319E-2</v>
      </c>
      <c r="AY629" s="106">
        <f t="shared" si="1000"/>
        <v>-3.3848128296107838E-2</v>
      </c>
      <c r="AZ629" s="106">
        <f t="shared" si="1001"/>
        <v>4.6005265860399991E-2</v>
      </c>
      <c r="BA629" s="106">
        <f t="shared" si="1001"/>
        <v>7.7872518352678499E-2</v>
      </c>
      <c r="BB629" s="106">
        <f t="shared" si="1002"/>
        <v>-3.5522494096996704E-3</v>
      </c>
      <c r="BC629" s="106">
        <f t="shared" si="1002"/>
        <v>6.1818729802588734E-2</v>
      </c>
      <c r="BD629" s="106">
        <f t="shared" si="1002"/>
        <v>5.2483706550803255E-3</v>
      </c>
      <c r="BE629" s="106">
        <f t="shared" si="1003"/>
        <v>-8.3525656764056322E-3</v>
      </c>
      <c r="BF629" s="106">
        <f t="shared" si="1004"/>
        <v>7.4983748191331134E-2</v>
      </c>
      <c r="BG629" s="106">
        <f t="shared" si="1005"/>
        <v>6.18991300691214E-2</v>
      </c>
      <c r="BH629" s="106">
        <f t="shared" si="1005"/>
        <v>4.9362833973183529E-2</v>
      </c>
      <c r="BI629" s="106">
        <f t="shared" si="1005"/>
        <v>-4.9854171102605038E-2</v>
      </c>
      <c r="BJ629" s="106">
        <f t="shared" si="1005"/>
        <v>-0.12055537402890026</v>
      </c>
      <c r="BK629" s="106">
        <f t="shared" si="1005"/>
        <v>-0.1525583973943303</v>
      </c>
      <c r="BL629" s="106">
        <f t="shared" si="1006"/>
        <v>-0.19956434565212011</v>
      </c>
      <c r="BM629" s="106">
        <f t="shared" si="1007"/>
        <v>-0.15737358050041428</v>
      </c>
      <c r="BN629" s="106">
        <f t="shared" si="1008"/>
        <v>-0.10340429543450658</v>
      </c>
      <c r="BO629" s="106">
        <f t="shared" si="1009"/>
        <v>-5.5589628565253735E-2</v>
      </c>
      <c r="BP629" s="106"/>
      <c r="BQ629" s="106"/>
      <c r="BR629" s="106"/>
      <c r="BS629" s="106"/>
      <c r="BT629" s="106"/>
      <c r="BU629" s="106"/>
      <c r="BV629" s="106">
        <f t="shared" si="1013"/>
        <v>-0.14259546569240777</v>
      </c>
      <c r="BW629" s="106">
        <f t="shared" si="1013"/>
        <v>-9.5212801145627801E-2</v>
      </c>
      <c r="BX629" s="106">
        <f t="shared" si="1013"/>
        <v>-8.4708366754906783E-2</v>
      </c>
      <c r="BY629" s="106">
        <f t="shared" si="1013"/>
        <v>-0.28437273863561607</v>
      </c>
      <c r="BZ629" s="106">
        <f t="shared" si="1013"/>
        <v>-5.3113847749933552E-2</v>
      </c>
      <c r="CA629" s="106">
        <f t="shared" si="1013"/>
        <v>8.6143828468203676E-2</v>
      </c>
      <c r="CB629" s="106">
        <f t="shared" si="1013"/>
        <v>-0.12082692221746927</v>
      </c>
      <c r="CC629" s="106">
        <f t="shared" si="1013"/>
        <v>-7.7855399988380758E-2</v>
      </c>
      <c r="CD629" s="106">
        <f t="shared" si="1013"/>
        <v>-0.22903853271697794</v>
      </c>
      <c r="CE629" s="106">
        <f t="shared" si="1011"/>
        <v>-5.1803389207244255E-2</v>
      </c>
      <c r="CF629" s="106">
        <f t="shared" si="1012"/>
        <v>4.5056691174490293E-2</v>
      </c>
      <c r="CG629" s="106">
        <f t="shared" si="1012"/>
        <v>3.2975981857540582E-2</v>
      </c>
      <c r="CH629" s="106">
        <f t="shared" si="1012"/>
        <v>-7.018331686774637E-2</v>
      </c>
      <c r="CI629" s="106">
        <f t="shared" si="1012"/>
        <v>-0.13237314329870364</v>
      </c>
    </row>
    <row r="630" spans="2:87" s="76" customFormat="1" x14ac:dyDescent="0.2">
      <c r="B630" s="60"/>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c r="AE630" s="106"/>
      <c r="AF630" s="106"/>
      <c r="AG630" s="106"/>
      <c r="AH630" s="106"/>
      <c r="AI630" s="106"/>
      <c r="AJ630" s="106"/>
      <c r="AK630" s="106"/>
      <c r="AL630" s="106"/>
      <c r="AM630" s="106"/>
      <c r="AN630" s="106"/>
      <c r="AO630" s="106"/>
      <c r="AP630" s="106"/>
      <c r="AQ630" s="106"/>
      <c r="AR630" s="106"/>
      <c r="AS630" s="106"/>
      <c r="AT630" s="106"/>
      <c r="AU630" s="106"/>
      <c r="AV630" s="106"/>
      <c r="AW630" s="106"/>
      <c r="AX630" s="106"/>
      <c r="AY630" s="106"/>
      <c r="AZ630" s="106"/>
      <c r="BA630" s="106"/>
      <c r="BB630" s="106"/>
      <c r="BC630" s="106"/>
      <c r="BD630" s="106"/>
      <c r="BE630" s="106"/>
      <c r="BF630" s="106"/>
      <c r="BG630" s="106"/>
      <c r="BH630" s="106"/>
      <c r="BI630" s="106"/>
      <c r="BJ630" s="106"/>
      <c r="BK630" s="106"/>
      <c r="BL630" s="106"/>
      <c r="BM630" s="106"/>
      <c r="BN630" s="106"/>
      <c r="BO630" s="106"/>
      <c r="BP630" s="106"/>
      <c r="BQ630" s="106"/>
      <c r="BR630" s="106"/>
      <c r="BS630" s="106"/>
      <c r="BT630" s="106"/>
      <c r="BU630" s="106"/>
      <c r="BV630" s="106"/>
      <c r="BW630" s="106"/>
      <c r="BX630" s="106"/>
      <c r="BY630" s="106"/>
      <c r="BZ630" s="106"/>
      <c r="CA630" s="106"/>
      <c r="CB630" s="106"/>
      <c r="CC630" s="106"/>
      <c r="CD630" s="106"/>
      <c r="CE630" s="106"/>
      <c r="CF630" s="106"/>
      <c r="CG630" s="106"/>
      <c r="CH630" s="106"/>
      <c r="CI630" s="106"/>
    </row>
    <row r="631" spans="2:87" s="76" customFormat="1" x14ac:dyDescent="0.2">
      <c r="B631" s="62" t="s">
        <v>257</v>
      </c>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c r="AE631" s="106"/>
      <c r="AF631" s="106"/>
      <c r="AG631" s="106"/>
      <c r="AH631" s="106"/>
      <c r="AI631" s="106"/>
      <c r="AJ631" s="106"/>
      <c r="AK631" s="106"/>
      <c r="AL631" s="106"/>
      <c r="AM631" s="106"/>
      <c r="AN631" s="106"/>
      <c r="AO631" s="106"/>
      <c r="AP631" s="106"/>
      <c r="AQ631" s="106"/>
      <c r="AR631" s="106"/>
      <c r="AS631" s="106"/>
      <c r="AT631" s="106"/>
      <c r="AU631" s="106"/>
      <c r="AV631" s="106"/>
      <c r="AW631" s="106"/>
      <c r="AX631" s="106"/>
      <c r="AY631" s="106"/>
      <c r="AZ631" s="106"/>
      <c r="BA631" s="106"/>
      <c r="BB631" s="106"/>
      <c r="BC631" s="106"/>
      <c r="BD631" s="106"/>
      <c r="BE631" s="106"/>
      <c r="BF631" s="106"/>
      <c r="BG631" s="106"/>
      <c r="BH631" s="106"/>
      <c r="BI631" s="106"/>
      <c r="BJ631" s="106"/>
      <c r="BK631" s="106"/>
      <c r="BL631" s="106"/>
      <c r="BM631" s="106"/>
      <c r="BN631" s="106"/>
      <c r="BO631" s="106"/>
      <c r="BP631" s="106"/>
      <c r="BQ631" s="106"/>
      <c r="BR631" s="106"/>
      <c r="BS631" s="106"/>
      <c r="BT631" s="106"/>
      <c r="BU631" s="106"/>
      <c r="BV631" s="106"/>
      <c r="BW631" s="106"/>
      <c r="BX631" s="106"/>
      <c r="BY631" s="106"/>
      <c r="BZ631" s="106"/>
      <c r="CA631" s="106"/>
      <c r="CB631" s="106"/>
      <c r="CC631" s="106"/>
      <c r="CD631" s="106"/>
      <c r="CE631" s="106"/>
      <c r="CF631" s="106"/>
      <c r="CG631" s="106"/>
      <c r="CH631" s="106"/>
      <c r="CI631" s="106"/>
    </row>
    <row r="632" spans="2:87" s="76" customFormat="1" x14ac:dyDescent="0.2">
      <c r="B632" s="60" t="s">
        <v>225</v>
      </c>
      <c r="C632" s="106"/>
      <c r="D632" s="106"/>
      <c r="E632" s="164" t="str">
        <f t="shared" ref="E632:E637" si="1014">+IFERROR(E616/A616-1,"n/a")</f>
        <v>n/a</v>
      </c>
      <c r="F632" s="164">
        <f t="shared" ref="F632:AK632" si="1015">+IFERROR(F616/E616-1,"n/a")</f>
        <v>4.001644465488341E-2</v>
      </c>
      <c r="G632" s="164">
        <f t="shared" si="1015"/>
        <v>1.9365085711301022E-2</v>
      </c>
      <c r="H632" s="164">
        <f t="shared" si="1015"/>
        <v>1.3137359964422224E-2</v>
      </c>
      <c r="I632" s="164">
        <f t="shared" si="1015"/>
        <v>1.8380594507988013E-2</v>
      </c>
      <c r="J632" s="164">
        <f t="shared" si="1015"/>
        <v>-1.2049936142021545E-2</v>
      </c>
      <c r="K632" s="164">
        <f t="shared" si="1015"/>
        <v>-2.3984832217264329E-2</v>
      </c>
      <c r="L632" s="164">
        <f t="shared" si="1015"/>
        <v>-1.1401043961738466E-3</v>
      </c>
      <c r="M632" s="164">
        <f t="shared" si="1015"/>
        <v>7.2724031905886388E-3</v>
      </c>
      <c r="N632" s="164">
        <f t="shared" si="1015"/>
        <v>-1.2431318073632402E-3</v>
      </c>
      <c r="O632" s="164">
        <f t="shared" si="1015"/>
        <v>1.5934044030127881E-2</v>
      </c>
      <c r="P632" s="164">
        <f t="shared" si="1015"/>
        <v>-3.3381957610924329E-2</v>
      </c>
      <c r="Q632" s="164">
        <f t="shared" si="1015"/>
        <v>-1.0501877360393319E-2</v>
      </c>
      <c r="R632" s="164">
        <f t="shared" si="1015"/>
        <v>9.9790637627270584E-3</v>
      </c>
      <c r="S632" s="164">
        <f t="shared" si="1015"/>
        <v>4.3921778999689742E-2</v>
      </c>
      <c r="T632" s="164">
        <f t="shared" si="1015"/>
        <v>2.2434636415349818E-2</v>
      </c>
      <c r="U632" s="164">
        <f t="shared" si="1015"/>
        <v>1.6835993142368277E-2</v>
      </c>
      <c r="V632" s="164">
        <f t="shared" si="1015"/>
        <v>-8.3415911580677626E-3</v>
      </c>
      <c r="W632" s="164">
        <f t="shared" si="1015"/>
        <v>-5.2065916172371218E-2</v>
      </c>
      <c r="X632" s="164">
        <f t="shared" si="1015"/>
        <v>-4.2971569270594423E-2</v>
      </c>
      <c r="Y632" s="164">
        <f t="shared" si="1015"/>
        <v>1.2266989278270968E-2</v>
      </c>
      <c r="Z632" s="164">
        <f t="shared" si="1015"/>
        <v>1.0429360603933624E-2</v>
      </c>
      <c r="AA632" s="164">
        <f t="shared" si="1015"/>
        <v>-2.0345141719355753E-2</v>
      </c>
      <c r="AB632" s="164">
        <f t="shared" si="1015"/>
        <v>-5.6199620524872484E-2</v>
      </c>
      <c r="AC632" s="164">
        <f t="shared" si="1015"/>
        <v>1.5809128514807647E-3</v>
      </c>
      <c r="AD632" s="164">
        <f t="shared" si="1015"/>
        <v>-8.4522026732703703E-2</v>
      </c>
      <c r="AE632" s="164">
        <f t="shared" si="1015"/>
        <v>-5.3954949836800159E-2</v>
      </c>
      <c r="AF632" s="164">
        <f t="shared" si="1015"/>
        <v>-2.9067871991885763E-3</v>
      </c>
      <c r="AG632" s="164">
        <f t="shared" si="1015"/>
        <v>3.2576490287037352E-2</v>
      </c>
      <c r="AH632" s="164">
        <f t="shared" si="1015"/>
        <v>2.3191465240558262E-2</v>
      </c>
      <c r="AI632" s="164">
        <f t="shared" si="1015"/>
        <v>1.4309981072343048E-2</v>
      </c>
      <c r="AJ632" s="164">
        <f t="shared" si="1015"/>
        <v>4.8180118337132871E-2</v>
      </c>
      <c r="AK632" s="164">
        <f t="shared" si="1015"/>
        <v>-2.1986591420694146E-2</v>
      </c>
      <c r="AL632" s="164">
        <f t="shared" ref="AL632:BK632" si="1016">+IFERROR(AL616/AK616-1,"n/a")</f>
        <v>-4.2498403462190582E-2</v>
      </c>
      <c r="AM632" s="164">
        <f t="shared" si="1016"/>
        <v>-1.2759732509956323E-2</v>
      </c>
      <c r="AN632" s="164">
        <f t="shared" si="1016"/>
        <v>1.2217970585445492E-2</v>
      </c>
      <c r="AO632" s="164">
        <f t="shared" si="1016"/>
        <v>-1.2879238228657219E-2</v>
      </c>
      <c r="AP632" s="164">
        <f t="shared" si="1016"/>
        <v>-4.0736075266349259E-2</v>
      </c>
      <c r="AQ632" s="164">
        <f t="shared" si="1016"/>
        <v>4.4741108920238748E-2</v>
      </c>
      <c r="AR632" s="164">
        <f t="shared" si="1016"/>
        <v>-5.7660626029654161E-3</v>
      </c>
      <c r="AS632" s="164">
        <f t="shared" si="1016"/>
        <v>-3.0969985796020172E-2</v>
      </c>
      <c r="AT632" s="164">
        <f t="shared" si="1016"/>
        <v>4.0893948746379749E-2</v>
      </c>
      <c r="AU632" s="164">
        <f t="shared" si="1016"/>
        <v>2.2723296333398979E-2</v>
      </c>
      <c r="AV632" s="164">
        <f t="shared" si="1016"/>
        <v>4.3520914170828595E-2</v>
      </c>
      <c r="AW632" s="164">
        <f t="shared" si="1016"/>
        <v>1.3810062674094681E-2</v>
      </c>
      <c r="AX632" s="164">
        <f t="shared" si="1016"/>
        <v>-1.3792950476460342E-2</v>
      </c>
      <c r="AY632" s="164">
        <f t="shared" si="1016"/>
        <v>-2.1959325875467228E-2</v>
      </c>
      <c r="AZ632" s="164">
        <f t="shared" si="1016"/>
        <v>-4.6148002973175339E-3</v>
      </c>
      <c r="BA632" s="164">
        <f t="shared" si="1016"/>
        <v>-6.3492252761707335E-2</v>
      </c>
      <c r="BB632" s="164">
        <f t="shared" si="1016"/>
        <v>-6.2883712639369982E-2</v>
      </c>
      <c r="BC632" s="164">
        <f t="shared" si="1016"/>
        <v>-3.1988383300145529E-3</v>
      </c>
      <c r="BD632" s="164">
        <f t="shared" si="1016"/>
        <v>3.4525764834969941E-2</v>
      </c>
      <c r="BE632" s="164">
        <f t="shared" si="1016"/>
        <v>3.076147749955549E-2</v>
      </c>
      <c r="BF632" s="164">
        <f t="shared" si="1016"/>
        <v>1.1539211268865701E-2</v>
      </c>
      <c r="BG632" s="164">
        <f t="shared" si="1016"/>
        <v>-1.9144257986251523E-2</v>
      </c>
      <c r="BH632" s="164">
        <f t="shared" si="1016"/>
        <v>2.1026043209956047E-2</v>
      </c>
      <c r="BI632" s="164">
        <f t="shared" si="1016"/>
        <v>-5.1638383059329218E-3</v>
      </c>
      <c r="BJ632" s="164">
        <f t="shared" si="1016"/>
        <v>3.1234220186904249E-2</v>
      </c>
      <c r="BK632" s="164">
        <f t="shared" si="1016"/>
        <v>-1.5171769148045522E-2</v>
      </c>
      <c r="BL632" s="164">
        <f t="shared" ref="BL632:BL637" si="1017">+IFERROR(BL616/BK616-1,"n/a")</f>
        <v>-2.2823740249116931E-2</v>
      </c>
      <c r="BM632" s="164">
        <f t="shared" ref="BM632:BM637" si="1018">+IFERROR(BM616/BL616-1,"n/a")</f>
        <v>0</v>
      </c>
      <c r="BN632" s="164">
        <f t="shared" ref="BN632:BN637" si="1019">+IFERROR(BN616/BM616-1,"n/a")</f>
        <v>0</v>
      </c>
      <c r="BO632" s="164">
        <f t="shared" ref="BO632:BO637" si="1020">+IFERROR(BO616/BN616-1,"n/a")</f>
        <v>0</v>
      </c>
      <c r="BP632" s="106"/>
      <c r="BQ632" s="106"/>
      <c r="BR632" s="106"/>
      <c r="BS632" s="106"/>
      <c r="BT632" s="106"/>
      <c r="BU632" s="106"/>
      <c r="BV632" s="106"/>
      <c r="BW632" s="106"/>
      <c r="BX632" s="106"/>
      <c r="BY632" s="106"/>
      <c r="BZ632" s="106"/>
      <c r="CA632" s="106"/>
      <c r="CB632" s="106"/>
      <c r="CC632" s="106"/>
      <c r="CD632" s="106"/>
      <c r="CE632" s="106"/>
      <c r="CF632" s="106"/>
      <c r="CG632" s="106"/>
      <c r="CH632" s="106"/>
      <c r="CI632" s="106"/>
    </row>
    <row r="633" spans="2:87" s="76" customFormat="1" x14ac:dyDescent="0.2">
      <c r="B633" s="60" t="s">
        <v>227</v>
      </c>
      <c r="C633" s="106"/>
      <c r="D633" s="106"/>
      <c r="E633" s="164" t="str">
        <f t="shared" si="1014"/>
        <v>n/a</v>
      </c>
      <c r="F633" s="164">
        <f t="shared" ref="F633:AK633" si="1021">+IFERROR(F617/E617-1,"n/a")</f>
        <v>1.4431811222927582E-2</v>
      </c>
      <c r="G633" s="164">
        <f t="shared" si="1021"/>
        <v>5.1679596562484553E-2</v>
      </c>
      <c r="H633" s="164">
        <f t="shared" si="1021"/>
        <v>6.7622312934783047E-3</v>
      </c>
      <c r="I633" s="164">
        <f t="shared" si="1021"/>
        <v>5.2032805578702712E-2</v>
      </c>
      <c r="J633" s="164">
        <f t="shared" si="1021"/>
        <v>-1.7755154789597882E-2</v>
      </c>
      <c r="K633" s="164">
        <f t="shared" si="1021"/>
        <v>-4.6139535541738219E-2</v>
      </c>
      <c r="L633" s="164">
        <f t="shared" si="1021"/>
        <v>-2.7839844326466578E-2</v>
      </c>
      <c r="M633" s="164">
        <f t="shared" si="1021"/>
        <v>-2.1008114899284558E-2</v>
      </c>
      <c r="N633" s="164">
        <f t="shared" si="1021"/>
        <v>-2.4651272964713478E-2</v>
      </c>
      <c r="O633" s="164">
        <f t="shared" si="1021"/>
        <v>3.6472284690571843E-2</v>
      </c>
      <c r="P633" s="164">
        <f t="shared" si="1021"/>
        <v>1.7379387528431822E-2</v>
      </c>
      <c r="Q633" s="164">
        <f t="shared" si="1021"/>
        <v>-1.0749674039942536E-2</v>
      </c>
      <c r="R633" s="164">
        <f t="shared" si="1021"/>
        <v>1.4691083646433789E-2</v>
      </c>
      <c r="S633" s="164">
        <f t="shared" si="1021"/>
        <v>2.7607267040570038E-2</v>
      </c>
      <c r="T633" s="164">
        <f t="shared" si="1021"/>
        <v>6.5808850262096819E-3</v>
      </c>
      <c r="U633" s="164">
        <f t="shared" si="1021"/>
        <v>6.7859485625110239E-4</v>
      </c>
      <c r="V633" s="164">
        <f t="shared" si="1021"/>
        <v>-3.3717147838464023E-2</v>
      </c>
      <c r="W633" s="164">
        <f t="shared" si="1021"/>
        <v>-5.8064292177073318E-2</v>
      </c>
      <c r="X633" s="164">
        <f t="shared" si="1021"/>
        <v>-9.7416809803368754E-2</v>
      </c>
      <c r="Y633" s="164">
        <f t="shared" si="1021"/>
        <v>-1.7486725852234875E-2</v>
      </c>
      <c r="Z633" s="164">
        <f t="shared" si="1021"/>
        <v>5.0147932335073975E-3</v>
      </c>
      <c r="AA633" s="164">
        <f t="shared" si="1021"/>
        <v>-1.5421456283101764E-2</v>
      </c>
      <c r="AB633" s="164">
        <f t="shared" si="1021"/>
        <v>6.9751305554539567E-3</v>
      </c>
      <c r="AC633" s="164">
        <f t="shared" si="1021"/>
        <v>2.3904765358671254E-2</v>
      </c>
      <c r="AD633" s="164">
        <f t="shared" si="1021"/>
        <v>-1.1790218236363947E-2</v>
      </c>
      <c r="AE633" s="164">
        <f t="shared" si="1021"/>
        <v>-3.3786405331130309E-2</v>
      </c>
      <c r="AF633" s="164">
        <f t="shared" si="1021"/>
        <v>-1.1800000927381538E-2</v>
      </c>
      <c r="AG633" s="164">
        <f t="shared" si="1021"/>
        <v>3.2435826089241671E-2</v>
      </c>
      <c r="AH633" s="164">
        <f t="shared" si="1021"/>
        <v>6.7919290565598756E-2</v>
      </c>
      <c r="AI633" s="164">
        <f t="shared" si="1021"/>
        <v>2.7475497184783482E-3</v>
      </c>
      <c r="AJ633" s="164">
        <f t="shared" si="1021"/>
        <v>4.3144301850532862E-2</v>
      </c>
      <c r="AK633" s="164">
        <f t="shared" si="1021"/>
        <v>-3.0281848873930706E-2</v>
      </c>
      <c r="AL633" s="164">
        <f t="shared" ref="AL633:BK633" si="1022">+IFERROR(AL617/AK617-1,"n/a")</f>
        <v>-2.4278618821572784E-2</v>
      </c>
      <c r="AM633" s="164">
        <f t="shared" si="1022"/>
        <v>-1.8740529113998039E-2</v>
      </c>
      <c r="AN633" s="164">
        <f t="shared" si="1022"/>
        <v>-4.7827180597783681E-3</v>
      </c>
      <c r="AO633" s="164">
        <f t="shared" si="1022"/>
        <v>-1.0296549792783272E-2</v>
      </c>
      <c r="AP633" s="164">
        <f t="shared" si="1022"/>
        <v>-1.0732901834256681E-2</v>
      </c>
      <c r="AQ633" s="164">
        <f t="shared" si="1022"/>
        <v>-4.0188096120427064E-3</v>
      </c>
      <c r="AR633" s="164">
        <f t="shared" si="1022"/>
        <v>-4.4956037366433721E-3</v>
      </c>
      <c r="AS633" s="164">
        <f t="shared" si="1022"/>
        <v>-9.7702494543361329E-4</v>
      </c>
      <c r="AT633" s="164">
        <f t="shared" si="1022"/>
        <v>6.1459306659983337E-2</v>
      </c>
      <c r="AU633" s="164">
        <f t="shared" si="1022"/>
        <v>2.0271513031992594E-2</v>
      </c>
      <c r="AV633" s="164">
        <f t="shared" si="1022"/>
        <v>1.0590905622629654E-2</v>
      </c>
      <c r="AW633" s="164">
        <f t="shared" si="1022"/>
        <v>-4.4969624760837767E-4</v>
      </c>
      <c r="AX633" s="164">
        <f t="shared" si="1022"/>
        <v>-2.1403384698136296E-2</v>
      </c>
      <c r="AY633" s="164">
        <f t="shared" si="1022"/>
        <v>-2.9942380003579405E-2</v>
      </c>
      <c r="AZ633" s="164">
        <f t="shared" si="1022"/>
        <v>-1.8592535529379672E-2</v>
      </c>
      <c r="BA633" s="164">
        <f t="shared" si="1022"/>
        <v>-5.1038518560757362E-2</v>
      </c>
      <c r="BB633" s="164">
        <f t="shared" si="1022"/>
        <v>-5.3619245054850051E-2</v>
      </c>
      <c r="BC633" s="164">
        <f t="shared" si="1022"/>
        <v>1.322651851484391E-2</v>
      </c>
      <c r="BD633" s="164">
        <f t="shared" si="1022"/>
        <v>5.0076030028189278E-2</v>
      </c>
      <c r="BE633" s="164">
        <f t="shared" si="1022"/>
        <v>1.4961070446174674E-2</v>
      </c>
      <c r="BF633" s="164">
        <f t="shared" si="1022"/>
        <v>-3.4910587554337624E-5</v>
      </c>
      <c r="BG633" s="164">
        <f t="shared" si="1022"/>
        <v>-1.1094604564075516E-2</v>
      </c>
      <c r="BH633" s="164">
        <f t="shared" si="1022"/>
        <v>8.5499465338017E-3</v>
      </c>
      <c r="BI633" s="164">
        <f t="shared" si="1022"/>
        <v>-8.5189170068830089E-3</v>
      </c>
      <c r="BJ633" s="164">
        <f t="shared" si="1022"/>
        <v>2.1131877034680668E-2</v>
      </c>
      <c r="BK633" s="164">
        <f t="shared" si="1022"/>
        <v>-2.9723014045370588E-2</v>
      </c>
      <c r="BL633" s="164">
        <f t="shared" si="1017"/>
        <v>-2.9171624877041169E-2</v>
      </c>
      <c r="BM633" s="164">
        <f t="shared" si="1018"/>
        <v>0</v>
      </c>
      <c r="BN633" s="164">
        <f t="shared" si="1019"/>
        <v>0</v>
      </c>
      <c r="BO633" s="164">
        <f t="shared" si="1020"/>
        <v>0</v>
      </c>
      <c r="BP633" s="106"/>
      <c r="BQ633" s="106"/>
      <c r="BR633" s="106"/>
      <c r="BS633" s="106"/>
      <c r="BT633" s="106"/>
      <c r="BU633" s="106"/>
      <c r="BV633" s="106"/>
      <c r="BW633" s="106"/>
      <c r="BX633" s="106"/>
      <c r="BY633" s="106"/>
      <c r="BZ633" s="106"/>
      <c r="CA633" s="106"/>
      <c r="CB633" s="106"/>
      <c r="CC633" s="106"/>
      <c r="CD633" s="106"/>
      <c r="CE633" s="106"/>
      <c r="CF633" s="106"/>
      <c r="CG633" s="106"/>
      <c r="CH633" s="106"/>
      <c r="CI633" s="106"/>
    </row>
    <row r="634" spans="2:87" s="76" customFormat="1" x14ac:dyDescent="0.2">
      <c r="B634" s="60" t="s">
        <v>229</v>
      </c>
      <c r="C634" s="106"/>
      <c r="D634" s="106"/>
      <c r="E634" s="164" t="str">
        <f t="shared" si="1014"/>
        <v>n/a</v>
      </c>
      <c r="F634" s="164">
        <f t="shared" ref="F634:AK634" si="1023">+IFERROR(F618/E618-1,"n/a")</f>
        <v>7.2703846861770671E-2</v>
      </c>
      <c r="G634" s="164">
        <f t="shared" si="1023"/>
        <v>3.9550446122168736E-2</v>
      </c>
      <c r="H634" s="164">
        <f t="shared" si="1023"/>
        <v>3.3011471486341648E-3</v>
      </c>
      <c r="I634" s="164">
        <f t="shared" si="1023"/>
        <v>8.8837706671054395E-3</v>
      </c>
      <c r="J634" s="164">
        <f t="shared" si="1023"/>
        <v>4.9490419894007376E-2</v>
      </c>
      <c r="K634" s="164">
        <f t="shared" si="1023"/>
        <v>4.9720323182100845E-3</v>
      </c>
      <c r="L634" s="164">
        <f t="shared" si="1023"/>
        <v>-2.4582560296845912E-2</v>
      </c>
      <c r="M634" s="164">
        <f t="shared" si="1023"/>
        <v>-1.0144238389602211E-2</v>
      </c>
      <c r="N634" s="164">
        <f t="shared" si="1023"/>
        <v>1.8334667734187349E-2</v>
      </c>
      <c r="O634" s="164">
        <f t="shared" si="1023"/>
        <v>-3.1763503420080164E-2</v>
      </c>
      <c r="P634" s="164">
        <f t="shared" si="1023"/>
        <v>-0.11944782785221275</v>
      </c>
      <c r="Q634" s="164">
        <f t="shared" si="1023"/>
        <v>-6.6580597565473854E-2</v>
      </c>
      <c r="R634" s="164">
        <f t="shared" si="1023"/>
        <v>-6.9156293222683018E-4</v>
      </c>
      <c r="S634" s="164">
        <f t="shared" si="1023"/>
        <v>-1.5422639644092961E-2</v>
      </c>
      <c r="T634" s="164">
        <f t="shared" si="1023"/>
        <v>-2.3094688221709125E-2</v>
      </c>
      <c r="U634" s="164">
        <f t="shared" si="1023"/>
        <v>6.8866276081815947E-3</v>
      </c>
      <c r="V634" s="164">
        <f t="shared" si="1023"/>
        <v>-1.7558187015108029E-2</v>
      </c>
      <c r="W634" s="164">
        <f t="shared" si="1023"/>
        <v>-9.1438071487946804E-2</v>
      </c>
      <c r="X634" s="164">
        <f t="shared" si="1023"/>
        <v>-4.0141811527904969E-2</v>
      </c>
      <c r="Y634" s="164">
        <f t="shared" si="1023"/>
        <v>-1.7991183128797772E-2</v>
      </c>
      <c r="Z634" s="164">
        <f t="shared" si="1023"/>
        <v>-6.5518078136372893E-3</v>
      </c>
      <c r="AA634" s="164">
        <f t="shared" si="1023"/>
        <v>5.9843673668782404E-3</v>
      </c>
      <c r="AB634" s="164">
        <f t="shared" si="1023"/>
        <v>5.3174699526526759E-2</v>
      </c>
      <c r="AC634" s="164">
        <f t="shared" si="1023"/>
        <v>6.8242074927953755E-2</v>
      </c>
      <c r="AD634" s="164">
        <f t="shared" si="1023"/>
        <v>5.4278623071112531E-2</v>
      </c>
      <c r="AE634" s="164">
        <f t="shared" si="1023"/>
        <v>-6.2640736949846398E-2</v>
      </c>
      <c r="AF634" s="164">
        <f t="shared" si="1023"/>
        <v>-3.9528281284123112E-2</v>
      </c>
      <c r="AG634" s="164">
        <f t="shared" si="1023"/>
        <v>2.3647112323783581E-2</v>
      </c>
      <c r="AH634" s="164">
        <f t="shared" si="1023"/>
        <v>1.4438027543315357E-3</v>
      </c>
      <c r="AI634" s="164">
        <f t="shared" si="1023"/>
        <v>-1.7411555949872537E-2</v>
      </c>
      <c r="AJ634" s="164">
        <f t="shared" si="1023"/>
        <v>4.2776523702031666E-2</v>
      </c>
      <c r="AK634" s="164">
        <f t="shared" si="1023"/>
        <v>-8.117761662517653E-3</v>
      </c>
      <c r="AL634" s="164">
        <f t="shared" ref="AL634:BK634" si="1024">+IFERROR(AL618/AK618-1,"n/a")</f>
        <v>-2.1060672195547858E-2</v>
      </c>
      <c r="AM634" s="164">
        <f t="shared" si="1024"/>
        <v>-1.0701148144019679E-2</v>
      </c>
      <c r="AN634" s="164">
        <f t="shared" si="1024"/>
        <v>2.3098591549295833E-2</v>
      </c>
      <c r="AO634" s="164">
        <f t="shared" si="1024"/>
        <v>2.2026431718062955E-3</v>
      </c>
      <c r="AP634" s="164">
        <f t="shared" si="1024"/>
        <v>2.417582417582409E-2</v>
      </c>
      <c r="AQ634" s="164">
        <f t="shared" si="1024"/>
        <v>-1.309012875536486E-2</v>
      </c>
      <c r="AR634" s="164">
        <f t="shared" si="1024"/>
        <v>-2.1743857360294605E-3</v>
      </c>
      <c r="AS634" s="164">
        <f t="shared" si="1024"/>
        <v>1.3074743952930845E-2</v>
      </c>
      <c r="AT634" s="164">
        <f t="shared" si="1024"/>
        <v>1.3551301355130052E-2</v>
      </c>
      <c r="AU634" s="164">
        <f t="shared" si="1024"/>
        <v>1.6022920203735191E-2</v>
      </c>
      <c r="AV634" s="164">
        <f t="shared" si="1024"/>
        <v>-1.4516971279373347E-2</v>
      </c>
      <c r="AW634" s="164">
        <f t="shared" si="1024"/>
        <v>-3.1687155574396053E-2</v>
      </c>
      <c r="AX634" s="164">
        <f t="shared" si="1024"/>
        <v>-5.9100361168872295E-3</v>
      </c>
      <c r="AY634" s="164">
        <f t="shared" si="1024"/>
        <v>-3.0936915116151043E-2</v>
      </c>
      <c r="AZ634" s="164">
        <f t="shared" si="1024"/>
        <v>-2.2154055896387304E-2</v>
      </c>
      <c r="BA634" s="164">
        <f t="shared" si="1024"/>
        <v>-0.10317183687696063</v>
      </c>
      <c r="BB634" s="164">
        <f t="shared" si="1024"/>
        <v>-6.1795569374271331E-2</v>
      </c>
      <c r="BC634" s="164">
        <f t="shared" si="1024"/>
        <v>-2.0850593758630187E-2</v>
      </c>
      <c r="BD634" s="164">
        <f t="shared" si="1024"/>
        <v>6.5999153857001724E-2</v>
      </c>
      <c r="BE634" s="164">
        <f t="shared" si="1024"/>
        <v>-3.6115888345019109E-2</v>
      </c>
      <c r="BF634" s="164">
        <f t="shared" si="1024"/>
        <v>-4.9958825144111985E-2</v>
      </c>
      <c r="BG634" s="164">
        <f t="shared" si="1024"/>
        <v>-2.1381103727246553E-2</v>
      </c>
      <c r="BH634" s="164">
        <f t="shared" si="1024"/>
        <v>-5.4620608207852639E-3</v>
      </c>
      <c r="BI634" s="164">
        <f t="shared" si="1024"/>
        <v>-4.7647320765919599E-2</v>
      </c>
      <c r="BJ634" s="164">
        <f t="shared" si="1024"/>
        <v>4.7693266832917747E-2</v>
      </c>
      <c r="BK634" s="164">
        <f t="shared" si="1024"/>
        <v>-2.3802439750074234E-2</v>
      </c>
      <c r="BL634" s="164">
        <f t="shared" si="1017"/>
        <v>-3.0630905211825765E-2</v>
      </c>
      <c r="BM634" s="164">
        <f t="shared" si="1018"/>
        <v>0</v>
      </c>
      <c r="BN634" s="164">
        <f t="shared" si="1019"/>
        <v>0</v>
      </c>
      <c r="BO634" s="164">
        <f t="shared" si="1020"/>
        <v>0</v>
      </c>
      <c r="BP634" s="106"/>
      <c r="BQ634" s="106"/>
      <c r="BR634" s="106"/>
      <c r="BS634" s="106"/>
      <c r="BT634" s="106"/>
      <c r="BU634" s="106"/>
      <c r="BV634" s="106"/>
      <c r="BW634" s="106"/>
      <c r="BX634" s="106"/>
      <c r="BY634" s="106"/>
      <c r="BZ634" s="106"/>
      <c r="CA634" s="106"/>
      <c r="CB634" s="106"/>
      <c r="CC634" s="106"/>
      <c r="CD634" s="106"/>
      <c r="CE634" s="106"/>
      <c r="CF634" s="106"/>
      <c r="CG634" s="106"/>
      <c r="CH634" s="106"/>
      <c r="CI634" s="106"/>
    </row>
    <row r="635" spans="2:87" s="76" customFormat="1" x14ac:dyDescent="0.2">
      <c r="B635" s="60" t="s">
        <v>231</v>
      </c>
      <c r="C635" s="106"/>
      <c r="D635" s="106"/>
      <c r="E635" s="164" t="str">
        <f t="shared" si="1014"/>
        <v>n/a</v>
      </c>
      <c r="F635" s="164">
        <f t="shared" ref="F635:AK635" si="1025">+IFERROR(F619/E619-1,"n/a")</f>
        <v>2.3463384871731385E-2</v>
      </c>
      <c r="G635" s="164">
        <f t="shared" si="1025"/>
        <v>9.2676301530614014E-2</v>
      </c>
      <c r="H635" s="164">
        <f t="shared" si="1025"/>
        <v>1.7782456424479287E-2</v>
      </c>
      <c r="I635" s="164">
        <f t="shared" si="1025"/>
        <v>5.7016950635897512E-2</v>
      </c>
      <c r="J635" s="164">
        <f t="shared" si="1025"/>
        <v>-1.102518819877718E-2</v>
      </c>
      <c r="K635" s="164">
        <f t="shared" si="1025"/>
        <v>-3.6007272236022181E-2</v>
      </c>
      <c r="L635" s="164">
        <f t="shared" si="1025"/>
        <v>4.1346211731685401E-2</v>
      </c>
      <c r="M635" s="164">
        <f t="shared" si="1025"/>
        <v>-4.2826355613513778E-2</v>
      </c>
      <c r="N635" s="164">
        <f t="shared" si="1025"/>
        <v>2.9261004436725857E-2</v>
      </c>
      <c r="O635" s="164">
        <f t="shared" si="1025"/>
        <v>-1.3496458021492463E-3</v>
      </c>
      <c r="P635" s="164">
        <f t="shared" si="1025"/>
        <v>3.8819838382320171E-4</v>
      </c>
      <c r="Q635" s="164">
        <f t="shared" si="1025"/>
        <v>-4.6459810578778571E-2</v>
      </c>
      <c r="R635" s="164">
        <f t="shared" si="1025"/>
        <v>-7.5448205662629442E-2</v>
      </c>
      <c r="S635" s="164">
        <f t="shared" si="1025"/>
        <v>1.2520110488910108E-2</v>
      </c>
      <c r="T635" s="164">
        <f t="shared" si="1025"/>
        <v>-3.267639666461708E-2</v>
      </c>
      <c r="U635" s="164">
        <f t="shared" si="1025"/>
        <v>4.028712957407854E-2</v>
      </c>
      <c r="V635" s="164">
        <f t="shared" si="1025"/>
        <v>-8.4556715065953192E-3</v>
      </c>
      <c r="W635" s="164">
        <f t="shared" si="1025"/>
        <v>-7.555647329609283E-2</v>
      </c>
      <c r="X635" s="164">
        <f t="shared" si="1025"/>
        <v>-7.9795202604641124E-2</v>
      </c>
      <c r="Y635" s="164">
        <f t="shared" si="1025"/>
        <v>-1.1910677543696013E-2</v>
      </c>
      <c r="Z635" s="164">
        <f t="shared" si="1025"/>
        <v>-6.655948346270335E-2</v>
      </c>
      <c r="AA635" s="164">
        <f t="shared" si="1025"/>
        <v>-7.7700431010726545E-3</v>
      </c>
      <c r="AB635" s="164">
        <f t="shared" si="1025"/>
        <v>2.8801675329852561E-3</v>
      </c>
      <c r="AC635" s="164">
        <f t="shared" si="1025"/>
        <v>3.2339985959004114E-2</v>
      </c>
      <c r="AD635" s="164">
        <f t="shared" si="1025"/>
        <v>1.6975933770250862E-2</v>
      </c>
      <c r="AE635" s="164">
        <f t="shared" si="1025"/>
        <v>-1.2486447844976545E-2</v>
      </c>
      <c r="AF635" s="164">
        <f t="shared" si="1025"/>
        <v>1.1896382468629563E-2</v>
      </c>
      <c r="AG635" s="164">
        <f t="shared" si="1025"/>
        <v>-8.8843776975854327E-3</v>
      </c>
      <c r="AH635" s="164">
        <f t="shared" si="1025"/>
        <v>5.1287070959699976E-2</v>
      </c>
      <c r="AI635" s="164">
        <f t="shared" si="1025"/>
        <v>-2.604756511891293E-2</v>
      </c>
      <c r="AJ635" s="164">
        <f t="shared" si="1025"/>
        <v>2.2266011133655894E-2</v>
      </c>
      <c r="AK635" s="164">
        <f t="shared" si="1025"/>
        <v>-3.7185145790047502E-2</v>
      </c>
      <c r="AL635" s="164">
        <f t="shared" ref="AL635:BK635" si="1026">+IFERROR(AL619/AK619-1,"n/a")</f>
        <v>-3.3405441549397175E-2</v>
      </c>
      <c r="AM635" s="164">
        <f t="shared" si="1026"/>
        <v>-1.9685448435581843E-2</v>
      </c>
      <c r="AN635" s="164">
        <f t="shared" si="1026"/>
        <v>-6.4974095432009937E-3</v>
      </c>
      <c r="AO635" s="164">
        <f t="shared" si="1026"/>
        <v>-1.7178647830700999E-2</v>
      </c>
      <c r="AP635" s="164">
        <f t="shared" si="1026"/>
        <v>-2.0742460987377087E-2</v>
      </c>
      <c r="AQ635" s="164">
        <f t="shared" si="1026"/>
        <v>-2.6792681237101101E-3</v>
      </c>
      <c r="AR635" s="164">
        <f t="shared" si="1026"/>
        <v>-3.7325350468998097E-2</v>
      </c>
      <c r="AS635" s="164">
        <f t="shared" si="1026"/>
        <v>-2.0189130682466416E-3</v>
      </c>
      <c r="AT635" s="164">
        <f t="shared" si="1026"/>
        <v>8.8168586154721895E-2</v>
      </c>
      <c r="AU635" s="164">
        <f t="shared" si="1026"/>
        <v>2.3433696850327701E-2</v>
      </c>
      <c r="AV635" s="164">
        <f t="shared" si="1026"/>
        <v>5.5832262650009623E-2</v>
      </c>
      <c r="AW635" s="164">
        <f t="shared" si="1026"/>
        <v>-3.4875231077534652E-3</v>
      </c>
      <c r="AX635" s="164">
        <f t="shared" si="1026"/>
        <v>-4.53743566293483E-2</v>
      </c>
      <c r="AY635" s="164">
        <f t="shared" si="1026"/>
        <v>-8.5786681835376966E-3</v>
      </c>
      <c r="AZ635" s="164">
        <f t="shared" si="1026"/>
        <v>-5.7443496737319411E-3</v>
      </c>
      <c r="BA635" s="164">
        <f t="shared" si="1026"/>
        <v>-1.3345629296051542E-2</v>
      </c>
      <c r="BB635" s="164">
        <f t="shared" si="1026"/>
        <v>-4.3204746113699732E-2</v>
      </c>
      <c r="BC635" s="164">
        <f t="shared" si="1026"/>
        <v>-3.8441852438974355E-2</v>
      </c>
      <c r="BD635" s="164">
        <f t="shared" si="1026"/>
        <v>3.9558952131097724E-2</v>
      </c>
      <c r="BE635" s="164">
        <f t="shared" si="1026"/>
        <v>-2.273472062919879E-2</v>
      </c>
      <c r="BF635" s="164">
        <f t="shared" si="1026"/>
        <v>-1.955400930544493E-2</v>
      </c>
      <c r="BG635" s="164">
        <f t="shared" si="1026"/>
        <v>-5.0310412957642603E-3</v>
      </c>
      <c r="BH635" s="164">
        <f t="shared" si="1026"/>
        <v>9.1937407061273291E-3</v>
      </c>
      <c r="BI635" s="164">
        <f t="shared" si="1026"/>
        <v>2.0573878928880074E-3</v>
      </c>
      <c r="BJ635" s="164">
        <f t="shared" si="1026"/>
        <v>1.6695423098926687E-2</v>
      </c>
      <c r="BK635" s="164">
        <f t="shared" si="1026"/>
        <v>-2.679761487197474E-2</v>
      </c>
      <c r="BL635" s="164">
        <f t="shared" si="1017"/>
        <v>-5.0888684740449497E-2</v>
      </c>
      <c r="BM635" s="164">
        <f t="shared" si="1018"/>
        <v>0</v>
      </c>
      <c r="BN635" s="164">
        <f t="shared" si="1019"/>
        <v>0</v>
      </c>
      <c r="BO635" s="164">
        <f t="shared" si="1020"/>
        <v>0</v>
      </c>
      <c r="BP635" s="106"/>
      <c r="BQ635" s="106"/>
      <c r="BR635" s="106"/>
      <c r="BS635" s="106"/>
      <c r="BT635" s="106"/>
      <c r="BU635" s="106"/>
      <c r="BV635" s="106"/>
      <c r="BW635" s="106"/>
      <c r="BX635" s="106"/>
      <c r="BY635" s="106"/>
      <c r="BZ635" s="106"/>
      <c r="CA635" s="106"/>
      <c r="CB635" s="106"/>
      <c r="CC635" s="106"/>
      <c r="CD635" s="106"/>
      <c r="CE635" s="106"/>
      <c r="CF635" s="106"/>
      <c r="CG635" s="106"/>
      <c r="CH635" s="106"/>
      <c r="CI635" s="106"/>
    </row>
    <row r="636" spans="2:87" s="76" customFormat="1" x14ac:dyDescent="0.2">
      <c r="B636" s="60" t="s">
        <v>233</v>
      </c>
      <c r="C636" s="106"/>
      <c r="D636" s="106"/>
      <c r="E636" s="164" t="str">
        <f t="shared" si="1014"/>
        <v>n/a</v>
      </c>
      <c r="F636" s="164">
        <f t="shared" ref="F636:AK636" si="1027">+IFERROR(F620/E620-1,"n/a")</f>
        <v>-1.8152793614595208E-2</v>
      </c>
      <c r="G636" s="164">
        <f t="shared" si="1027"/>
        <v>3.646583360431066E-2</v>
      </c>
      <c r="H636" s="164">
        <f t="shared" si="1027"/>
        <v>-9.3223377554678688E-3</v>
      </c>
      <c r="I636" s="164">
        <f t="shared" si="1027"/>
        <v>1.2486427795874055E-2</v>
      </c>
      <c r="J636" s="164">
        <f t="shared" si="1027"/>
        <v>-2.2028596961572888E-2</v>
      </c>
      <c r="K636" s="164">
        <f t="shared" si="1027"/>
        <v>-9.905423310641015E-2</v>
      </c>
      <c r="L636" s="164">
        <f t="shared" si="1027"/>
        <v>9.7368020690704604E-3</v>
      </c>
      <c r="M636" s="164">
        <f t="shared" si="1027"/>
        <v>-6.8655517050876358E-2</v>
      </c>
      <c r="N636" s="164">
        <f t="shared" si="1027"/>
        <v>-2.146246764452131E-2</v>
      </c>
      <c r="O636" s="164">
        <f t="shared" si="1027"/>
        <v>1.7579631874793389E-2</v>
      </c>
      <c r="P636" s="164">
        <f t="shared" si="1027"/>
        <v>-5.4156512320602257E-4</v>
      </c>
      <c r="Q636" s="164">
        <f t="shared" si="1027"/>
        <v>-2.8772690327824479E-2</v>
      </c>
      <c r="R636" s="164">
        <f t="shared" si="1027"/>
        <v>-9.9363981254184219E-2</v>
      </c>
      <c r="S636" s="164">
        <f t="shared" si="1027"/>
        <v>-4.9557083565643367E-4</v>
      </c>
      <c r="T636" s="164">
        <f t="shared" si="1027"/>
        <v>4.0904865199875573E-3</v>
      </c>
      <c r="U636" s="164">
        <f t="shared" si="1027"/>
        <v>3.2590580828343985E-2</v>
      </c>
      <c r="V636" s="164">
        <f t="shared" si="1027"/>
        <v>-1.3210592384482189E-2</v>
      </c>
      <c r="W636" s="164">
        <f t="shared" si="1027"/>
        <v>-2.2231645262902777E-2</v>
      </c>
      <c r="X636" s="164">
        <f t="shared" si="1027"/>
        <v>-4.4606901678954092E-3</v>
      </c>
      <c r="Y636" s="164">
        <f t="shared" si="1027"/>
        <v>-1.854502458149232E-2</v>
      </c>
      <c r="Z636" s="164">
        <f t="shared" si="1027"/>
        <v>-2.3904635089721626E-2</v>
      </c>
      <c r="AA636" s="164">
        <f t="shared" si="1027"/>
        <v>-1.4291282317786091E-2</v>
      </c>
      <c r="AB636" s="164">
        <f t="shared" si="1027"/>
        <v>-2.3065770396731189E-2</v>
      </c>
      <c r="AC636" s="164">
        <f t="shared" si="1027"/>
        <v>8.3648138154344132E-3</v>
      </c>
      <c r="AD636" s="164">
        <f t="shared" si="1027"/>
        <v>-1.0034787262509504E-3</v>
      </c>
      <c r="AE636" s="164">
        <f t="shared" si="1027"/>
        <v>-6.8305096095895301E-3</v>
      </c>
      <c r="AF636" s="164">
        <f t="shared" si="1027"/>
        <v>7.0123390196210611E-3</v>
      </c>
      <c r="AG636" s="164">
        <f t="shared" si="1027"/>
        <v>3.8567124204887948E-2</v>
      </c>
      <c r="AH636" s="164">
        <f t="shared" si="1027"/>
        <v>2.9656372896653682E-3</v>
      </c>
      <c r="AI636" s="164">
        <f t="shared" si="1027"/>
        <v>-6.94221250883853E-3</v>
      </c>
      <c r="AJ636" s="164">
        <f t="shared" si="1027"/>
        <v>5.4372451291346824E-3</v>
      </c>
      <c r="AK636" s="164">
        <f t="shared" si="1027"/>
        <v>-3.9078091804545134E-2</v>
      </c>
      <c r="AL636" s="164">
        <f t="shared" ref="AL636:BK636" si="1028">+IFERROR(AL620/AK620-1,"n/a")</f>
        <v>-4.3615168162937201E-2</v>
      </c>
      <c r="AM636" s="164">
        <f t="shared" si="1028"/>
        <v>-2.7110332749562205E-2</v>
      </c>
      <c r="AN636" s="164">
        <f t="shared" si="1028"/>
        <v>2.2105414746543817E-2</v>
      </c>
      <c r="AO636" s="164">
        <f t="shared" si="1028"/>
        <v>1.3173652694610904E-2</v>
      </c>
      <c r="AP636" s="164">
        <f t="shared" si="1028"/>
        <v>-1.1542205534696204E-2</v>
      </c>
      <c r="AQ636" s="164">
        <f t="shared" si="1028"/>
        <v>-1.2239729881823203E-2</v>
      </c>
      <c r="AR636" s="164">
        <f t="shared" si="1028"/>
        <v>-1.7234012248967479E-2</v>
      </c>
      <c r="AS636" s="164">
        <f t="shared" si="1028"/>
        <v>-4.5144927536231894E-2</v>
      </c>
      <c r="AT636" s="164">
        <f t="shared" si="1028"/>
        <v>2.0945587007664912E-2</v>
      </c>
      <c r="AU636" s="164">
        <f t="shared" si="1028"/>
        <v>7.2846205307366407E-3</v>
      </c>
      <c r="AV636" s="164">
        <f t="shared" si="1028"/>
        <v>1.1954837281381359E-2</v>
      </c>
      <c r="AW636" s="164">
        <f t="shared" si="1028"/>
        <v>-1.1084372493254557E-2</v>
      </c>
      <c r="AX636" s="164">
        <f t="shared" si="1028"/>
        <v>-4.5719342231398397E-3</v>
      </c>
      <c r="AY636" s="164">
        <f t="shared" si="1028"/>
        <v>-1.1482332024594477E-2</v>
      </c>
      <c r="AZ636" s="164">
        <f t="shared" si="1028"/>
        <v>-3.6720623501199645E-3</v>
      </c>
      <c r="BA636" s="164">
        <f t="shared" si="1028"/>
        <v>-2.5648740127867553E-2</v>
      </c>
      <c r="BB636" s="164">
        <f t="shared" si="1028"/>
        <v>-3.2036436621892928E-2</v>
      </c>
      <c r="BC636" s="164">
        <f t="shared" si="1028"/>
        <v>-2.8869925831406018E-2</v>
      </c>
      <c r="BD636" s="164">
        <f t="shared" si="1028"/>
        <v>-8.2122033341547329E-4</v>
      </c>
      <c r="BE636" s="164">
        <f t="shared" si="1028"/>
        <v>4.1094764527005445E-4</v>
      </c>
      <c r="BF636" s="164">
        <f t="shared" si="1028"/>
        <v>-6.2438383174499013E-3</v>
      </c>
      <c r="BG636" s="164">
        <f t="shared" si="1028"/>
        <v>-6.779100529100579E-3</v>
      </c>
      <c r="BH636" s="164">
        <f t="shared" si="1028"/>
        <v>2.4138505077409E-3</v>
      </c>
      <c r="BI636" s="164">
        <f t="shared" si="1028"/>
        <v>-4.5669683633645652E-3</v>
      </c>
      <c r="BJ636" s="164">
        <f t="shared" si="1028"/>
        <v>-4.0874207540874119E-3</v>
      </c>
      <c r="BK636" s="164">
        <f t="shared" si="1028"/>
        <v>-8.2921517715051074E-3</v>
      </c>
      <c r="BL636" s="164">
        <f t="shared" si="1017"/>
        <v>-1.3091216216216228E-2</v>
      </c>
      <c r="BM636" s="164">
        <f t="shared" si="1018"/>
        <v>0</v>
      </c>
      <c r="BN636" s="164">
        <f t="shared" si="1019"/>
        <v>0</v>
      </c>
      <c r="BO636" s="164">
        <f t="shared" si="1020"/>
        <v>0</v>
      </c>
      <c r="BP636" s="106"/>
      <c r="BQ636" s="106"/>
      <c r="BR636" s="106"/>
      <c r="BS636" s="106"/>
      <c r="BT636" s="106"/>
      <c r="BU636" s="106"/>
      <c r="BV636" s="106"/>
      <c r="BW636" s="106"/>
      <c r="BX636" s="106"/>
      <c r="BY636" s="106"/>
      <c r="BZ636" s="106"/>
      <c r="CA636" s="106"/>
      <c r="CB636" s="106"/>
      <c r="CC636" s="106"/>
      <c r="CD636" s="106"/>
      <c r="CE636" s="106"/>
      <c r="CF636" s="106"/>
      <c r="CG636" s="106"/>
      <c r="CH636" s="106"/>
      <c r="CI636" s="106"/>
    </row>
    <row r="637" spans="2:87" s="76" customFormat="1" x14ac:dyDescent="0.2">
      <c r="B637" s="60" t="s">
        <v>235</v>
      </c>
      <c r="C637" s="106"/>
      <c r="D637" s="106"/>
      <c r="E637" s="164" t="str">
        <f t="shared" si="1014"/>
        <v>n/a</v>
      </c>
      <c r="F637" s="164">
        <f t="shared" ref="F637:AK637" si="1029">+IFERROR(F621/E621-1,"n/a")</f>
        <v>2.4624131577249297E-2</v>
      </c>
      <c r="G637" s="164">
        <f t="shared" si="1029"/>
        <v>3.0567868925873709E-2</v>
      </c>
      <c r="H637" s="164">
        <f t="shared" si="1029"/>
        <v>1.8378259098316141E-2</v>
      </c>
      <c r="I637" s="164">
        <f t="shared" si="1029"/>
        <v>4.5302335039595132E-2</v>
      </c>
      <c r="J637" s="164">
        <f t="shared" si="1029"/>
        <v>-2.0047008097256236E-2</v>
      </c>
      <c r="K637" s="164">
        <f t="shared" si="1029"/>
        <v>-9.4621465322819565E-2</v>
      </c>
      <c r="L637" s="164">
        <f t="shared" si="1029"/>
        <v>1.755738635955173E-2</v>
      </c>
      <c r="M637" s="164">
        <f t="shared" si="1029"/>
        <v>-9.700215305215909E-2</v>
      </c>
      <c r="N637" s="164">
        <f t="shared" si="1029"/>
        <v>-3.5774851198917101E-2</v>
      </c>
      <c r="O637" s="164">
        <f t="shared" si="1029"/>
        <v>-1.4191734470944017E-2</v>
      </c>
      <c r="P637" s="164">
        <f t="shared" si="1029"/>
        <v>3.0269545051412994E-2</v>
      </c>
      <c r="Q637" s="164">
        <f t="shared" si="1029"/>
        <v>-3.3492650950612934E-2</v>
      </c>
      <c r="R637" s="164">
        <f t="shared" si="1029"/>
        <v>-9.6499747885961717E-2</v>
      </c>
      <c r="S637" s="164">
        <f t="shared" si="1029"/>
        <v>4.6933860310010012E-3</v>
      </c>
      <c r="T637" s="164">
        <f t="shared" si="1029"/>
        <v>-3.6080890036265245E-2</v>
      </c>
      <c r="U637" s="164">
        <f t="shared" si="1029"/>
        <v>5.8963567572163367E-2</v>
      </c>
      <c r="V637" s="164">
        <f t="shared" si="1029"/>
        <v>-2.1417101565636365E-2</v>
      </c>
      <c r="W637" s="164">
        <f t="shared" si="1029"/>
        <v>-0.10628405773319927</v>
      </c>
      <c r="X637" s="164">
        <f t="shared" si="1029"/>
        <v>-0.10693065267173618</v>
      </c>
      <c r="Y637" s="164">
        <f t="shared" si="1029"/>
        <v>-7.2039633362839472E-2</v>
      </c>
      <c r="Z637" s="164">
        <f t="shared" si="1029"/>
        <v>-0.12516731747394472</v>
      </c>
      <c r="AA637" s="164">
        <f t="shared" si="1029"/>
        <v>-8.5190500309527906E-2</v>
      </c>
      <c r="AB637" s="164">
        <f t="shared" si="1029"/>
        <v>-1.2534411959213121E-2</v>
      </c>
      <c r="AC637" s="164">
        <f t="shared" si="1029"/>
        <v>0.1090318661807308</v>
      </c>
      <c r="AD637" s="164">
        <f t="shared" si="1029"/>
        <v>8.2503001832697764E-2</v>
      </c>
      <c r="AE637" s="164">
        <f t="shared" si="1029"/>
        <v>-1.6310711100300024E-2</v>
      </c>
      <c r="AF637" s="164">
        <f t="shared" si="1029"/>
        <v>4.8236706056129952E-2</v>
      </c>
      <c r="AG637" s="164">
        <f t="shared" si="1029"/>
        <v>-2.0897944804765811E-2</v>
      </c>
      <c r="AH637" s="164">
        <f t="shared" si="1029"/>
        <v>1.5918042161127133E-2</v>
      </c>
      <c r="AI637" s="164">
        <f t="shared" si="1029"/>
        <v>-2.7106252589039093E-2</v>
      </c>
      <c r="AJ637" s="164">
        <f t="shared" si="1029"/>
        <v>1.2708627890725133E-3</v>
      </c>
      <c r="AK637" s="164">
        <f t="shared" si="1029"/>
        <v>-9.7810138416391856E-2</v>
      </c>
      <c r="AL637" s="164">
        <f t="shared" ref="AL637:BK637" si="1030">+IFERROR(AL621/AK621-1,"n/a")</f>
        <v>-8.7120626068183826E-2</v>
      </c>
      <c r="AM637" s="164">
        <f t="shared" si="1030"/>
        <v>3.5335340858926756E-2</v>
      </c>
      <c r="AN637" s="164">
        <f t="shared" si="1030"/>
        <v>1.0057979952565521E-2</v>
      </c>
      <c r="AO637" s="164">
        <f t="shared" si="1030"/>
        <v>-3.7743244924034913E-2</v>
      </c>
      <c r="AP637" s="164">
        <f t="shared" si="1030"/>
        <v>-1.1503887507099408E-2</v>
      </c>
      <c r="AQ637" s="164">
        <f t="shared" si="1030"/>
        <v>-3.6597349901730802E-2</v>
      </c>
      <c r="AR637" s="164">
        <f t="shared" si="1030"/>
        <v>-7.183340736719146E-2</v>
      </c>
      <c r="AS637" s="164">
        <f t="shared" si="1030"/>
        <v>-0.17524050924592427</v>
      </c>
      <c r="AT637" s="164">
        <f t="shared" si="1030"/>
        <v>2.9550668651046053E-4</v>
      </c>
      <c r="AU637" s="164">
        <f t="shared" si="1030"/>
        <v>-3.9210209694053866E-3</v>
      </c>
      <c r="AV637" s="164">
        <f t="shared" si="1030"/>
        <v>-1.283392470045186E-2</v>
      </c>
      <c r="AW637" s="164">
        <f t="shared" si="1030"/>
        <v>3.2070400839041557E-2</v>
      </c>
      <c r="AX637" s="164">
        <f t="shared" si="1030"/>
        <v>1.3184288942875044E-2</v>
      </c>
      <c r="AY637" s="164">
        <f t="shared" si="1030"/>
        <v>-6.4039743402219074E-2</v>
      </c>
      <c r="AZ637" s="164">
        <f t="shared" si="1030"/>
        <v>6.8756313871261243E-2</v>
      </c>
      <c r="BA637" s="164">
        <f t="shared" si="1030"/>
        <v>6.3513118315507988E-2</v>
      </c>
      <c r="BB637" s="164">
        <f t="shared" si="1030"/>
        <v>-6.3353793272771908E-2</v>
      </c>
      <c r="BC637" s="164">
        <f t="shared" si="1030"/>
        <v>-2.6369870195231959E-3</v>
      </c>
      <c r="BD637" s="164">
        <f t="shared" si="1030"/>
        <v>1.1816342085205989E-2</v>
      </c>
      <c r="BE637" s="164">
        <f t="shared" si="1030"/>
        <v>4.9123864244414062E-2</v>
      </c>
      <c r="BF637" s="164">
        <f t="shared" si="1030"/>
        <v>1.5360313742578624E-2</v>
      </c>
      <c r="BG637" s="164">
        <f t="shared" si="1030"/>
        <v>-1.4776811622474462E-2</v>
      </c>
      <c r="BH637" s="164">
        <f t="shared" si="1030"/>
        <v>-1.2869949163696326E-4</v>
      </c>
      <c r="BI637" s="164">
        <f t="shared" si="1030"/>
        <v>-5.0070546300651109E-2</v>
      </c>
      <c r="BJ637" s="164">
        <f t="shared" si="1030"/>
        <v>-6.0193557465304082E-2</v>
      </c>
      <c r="BK637" s="164">
        <f t="shared" si="1030"/>
        <v>-5.0629120894355339E-2</v>
      </c>
      <c r="BL637" s="164">
        <f t="shared" si="1017"/>
        <v>-5.5589628565253735E-2</v>
      </c>
      <c r="BM637" s="164">
        <f t="shared" si="1018"/>
        <v>0</v>
      </c>
      <c r="BN637" s="164">
        <f t="shared" si="1019"/>
        <v>0</v>
      </c>
      <c r="BO637" s="164">
        <f t="shared" si="1020"/>
        <v>0</v>
      </c>
      <c r="BP637" s="106"/>
      <c r="BQ637" s="106"/>
      <c r="BR637" s="106"/>
      <c r="BS637" s="106"/>
      <c r="BT637" s="106"/>
      <c r="BU637" s="106"/>
      <c r="BV637" s="106"/>
      <c r="BW637" s="106"/>
      <c r="BX637" s="106"/>
      <c r="BY637" s="106"/>
      <c r="BZ637" s="106"/>
      <c r="CA637" s="106"/>
      <c r="CB637" s="106"/>
      <c r="CC637" s="106"/>
      <c r="CD637" s="106"/>
      <c r="CE637" s="106"/>
      <c r="CF637" s="106"/>
      <c r="CG637" s="106"/>
      <c r="CH637" s="106"/>
      <c r="CI637" s="106"/>
    </row>
    <row r="638" spans="2:87" s="76" customFormat="1" x14ac:dyDescent="0.2">
      <c r="B638" s="60"/>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c r="AD638" s="106"/>
      <c r="AE638" s="106"/>
      <c r="AF638" s="106"/>
      <c r="AG638" s="106"/>
      <c r="AH638" s="106"/>
      <c r="AI638" s="106"/>
      <c r="AJ638" s="106"/>
      <c r="AK638" s="106"/>
      <c r="AL638" s="106"/>
      <c r="AM638" s="106"/>
      <c r="AN638" s="106"/>
      <c r="AO638" s="106"/>
      <c r="AP638" s="106"/>
      <c r="AQ638" s="106"/>
      <c r="AR638" s="106"/>
      <c r="AS638" s="106"/>
      <c r="AT638" s="106"/>
      <c r="AU638" s="106"/>
      <c r="AV638" s="106"/>
      <c r="AW638" s="106"/>
      <c r="AX638" s="106"/>
      <c r="AY638" s="106"/>
      <c r="AZ638" s="106"/>
      <c r="BA638" s="106"/>
      <c r="BB638" s="106"/>
      <c r="BC638" s="106"/>
      <c r="BD638" s="106"/>
      <c r="BE638" s="106"/>
      <c r="BF638" s="106"/>
      <c r="BG638" s="106"/>
      <c r="BH638" s="106"/>
      <c r="BI638" s="106"/>
      <c r="BJ638" s="106"/>
      <c r="BK638" s="106"/>
      <c r="BL638" s="106"/>
      <c r="BM638" s="106"/>
      <c r="BN638" s="106"/>
      <c r="BO638" s="106"/>
      <c r="BP638" s="106"/>
      <c r="BQ638" s="106"/>
      <c r="BR638" s="106"/>
      <c r="BS638" s="106"/>
      <c r="BT638" s="106"/>
      <c r="BU638" s="106"/>
      <c r="BV638" s="106"/>
      <c r="BW638" s="106"/>
      <c r="BX638" s="106"/>
      <c r="BY638" s="106"/>
      <c r="BZ638" s="106"/>
      <c r="CA638" s="106"/>
      <c r="CB638" s="106"/>
      <c r="CC638" s="106"/>
      <c r="CD638" s="106"/>
      <c r="CE638" s="106"/>
      <c r="CF638" s="106"/>
      <c r="CG638" s="106"/>
      <c r="CH638" s="106"/>
      <c r="CI638" s="106"/>
    </row>
    <row r="639" spans="2:87" s="76" customFormat="1" x14ac:dyDescent="0.2">
      <c r="B639" s="54" t="s">
        <v>336</v>
      </c>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c r="AE639" s="106"/>
      <c r="AF639" s="106"/>
      <c r="AG639" s="106"/>
      <c r="AH639" s="106"/>
      <c r="AI639" s="106"/>
      <c r="AJ639" s="106"/>
      <c r="AK639" s="106"/>
      <c r="AL639" s="106"/>
      <c r="AM639" s="106"/>
      <c r="AN639" s="106"/>
      <c r="AO639" s="106"/>
      <c r="AP639" s="106"/>
      <c r="AQ639" s="106"/>
      <c r="AR639" s="106"/>
      <c r="AS639" s="106"/>
      <c r="AT639" s="106"/>
      <c r="AU639" s="106"/>
      <c r="AV639" s="106"/>
      <c r="AW639" s="106"/>
      <c r="AX639" s="106"/>
      <c r="AY639" s="106"/>
      <c r="AZ639" s="106"/>
      <c r="BA639" s="106"/>
      <c r="BB639" s="106"/>
      <c r="BC639" s="106"/>
      <c r="BD639" s="106"/>
      <c r="BE639" s="106"/>
      <c r="BF639" s="106"/>
      <c r="BG639" s="106"/>
      <c r="BH639" s="106"/>
      <c r="BI639" s="106"/>
      <c r="BJ639" s="106"/>
      <c r="BK639" s="106"/>
      <c r="BL639" s="106"/>
      <c r="BM639" s="106"/>
      <c r="BN639" s="106"/>
      <c r="BO639" s="106"/>
      <c r="BP639" s="106"/>
      <c r="BQ639" s="106"/>
      <c r="BR639" s="106"/>
      <c r="BS639" s="106"/>
      <c r="BT639" s="106"/>
      <c r="BU639" s="106"/>
      <c r="BV639" s="106"/>
      <c r="BW639" s="106"/>
      <c r="BX639" s="106"/>
      <c r="BY639" s="106"/>
      <c r="BZ639" s="106"/>
      <c r="CA639" s="106"/>
      <c r="CB639" s="106"/>
      <c r="CC639" s="106"/>
      <c r="CD639" s="106"/>
      <c r="CE639" s="106"/>
      <c r="CF639" s="106"/>
      <c r="CG639" s="106"/>
      <c r="CH639" s="106"/>
      <c r="CI639" s="106"/>
    </row>
    <row r="640" spans="2:87" s="76" customFormat="1" x14ac:dyDescent="0.2">
      <c r="B640" t="s">
        <v>225</v>
      </c>
      <c r="C640" s="106"/>
      <c r="D640" s="186">
        <f t="shared" ref="D640:AI640" si="1031">++D225/D228*0.3</f>
        <v>8.347826086956521E-2</v>
      </c>
      <c r="E640" s="186">
        <f t="shared" si="1031"/>
        <v>8.9791183294663568E-2</v>
      </c>
      <c r="F640" s="186">
        <f t="shared" si="1031"/>
        <v>8.6081370449678798E-2</v>
      </c>
      <c r="G640" s="186">
        <f t="shared" si="1031"/>
        <v>8.9466484268125854E-2</v>
      </c>
      <c r="H640" s="186">
        <f t="shared" si="1031"/>
        <v>9.3980848153214766E-2</v>
      </c>
      <c r="I640" s="186">
        <f t="shared" si="1031"/>
        <v>9.217877094972067E-2</v>
      </c>
      <c r="J640" s="186">
        <f t="shared" si="1031"/>
        <v>9.1194968553459127E-2</v>
      </c>
      <c r="K640" s="186">
        <f t="shared" si="1031"/>
        <v>9.5755968169761271E-2</v>
      </c>
      <c r="L640" s="186">
        <f t="shared" si="1031"/>
        <v>9.3005671077504723E-2</v>
      </c>
      <c r="M640" s="186">
        <f t="shared" si="1031"/>
        <v>8.7668918918918912E-2</v>
      </c>
      <c r="N640" s="186">
        <f t="shared" si="1031"/>
        <v>8.1061806656101423E-2</v>
      </c>
      <c r="O640" s="186">
        <f t="shared" si="1031"/>
        <v>8.3280757097791799E-2</v>
      </c>
      <c r="P640" s="186">
        <f t="shared" si="1031"/>
        <v>8.7037037037037038E-2</v>
      </c>
      <c r="Q640" s="186">
        <f t="shared" si="1031"/>
        <v>8.356315499172641E-2</v>
      </c>
      <c r="R640" s="186">
        <f t="shared" si="1031"/>
        <v>8.0059523809523803E-2</v>
      </c>
      <c r="S640" s="186">
        <f t="shared" si="1031"/>
        <v>8.4371373307543518E-2</v>
      </c>
      <c r="T640" s="186">
        <f t="shared" si="1031"/>
        <v>8.3693045563549159E-2</v>
      </c>
      <c r="U640" s="186">
        <f t="shared" si="1031"/>
        <v>8.4948453608247418E-2</v>
      </c>
      <c r="V640" s="186">
        <f t="shared" si="1031"/>
        <v>7.9050889790821102E-2</v>
      </c>
      <c r="W640" s="186">
        <f t="shared" si="1031"/>
        <v>8.0238898987276028E-2</v>
      </c>
      <c r="X640" s="186">
        <f t="shared" si="1031"/>
        <v>7.6883996613039782E-2</v>
      </c>
      <c r="Y640" s="186">
        <f t="shared" si="1031"/>
        <v>7.6966848095002469E-2</v>
      </c>
      <c r="Z640" s="186">
        <f t="shared" si="1031"/>
        <v>7.2317262830482107E-2</v>
      </c>
      <c r="AA640" s="186">
        <f t="shared" si="1031"/>
        <v>7.4781715459681555E-2</v>
      </c>
      <c r="AB640" s="186">
        <f t="shared" si="1031"/>
        <v>7.2853957636566338E-2</v>
      </c>
      <c r="AC640" s="186">
        <f t="shared" si="1031"/>
        <v>7.3881292728402728E-2</v>
      </c>
      <c r="AD640" s="186">
        <f t="shared" si="1031"/>
        <v>6.8687589158345219E-2</v>
      </c>
      <c r="AE640" s="186">
        <f t="shared" si="1031"/>
        <v>7.0333787465940059E-2</v>
      </c>
      <c r="AF640" s="186">
        <f t="shared" si="1031"/>
        <v>7.1170610211706106E-2</v>
      </c>
      <c r="AG640" s="186">
        <f t="shared" si="1031"/>
        <v>7.216738197424892E-2</v>
      </c>
      <c r="AH640" s="186">
        <f t="shared" si="1031"/>
        <v>7.2073206158613332E-2</v>
      </c>
      <c r="AI640" s="186">
        <f t="shared" si="1031"/>
        <v>7.5161887141535613E-2</v>
      </c>
      <c r="AJ640" s="186">
        <f t="shared" ref="AJ640:BI640" si="1032">++AJ225/AJ228*0.3</f>
        <v>7.6115661039612245E-2</v>
      </c>
      <c r="AK640" s="186">
        <f t="shared" si="1032"/>
        <v>7.4869624367016857E-2</v>
      </c>
      <c r="AL640" s="186">
        <f t="shared" si="1032"/>
        <v>7.2404749763240323E-2</v>
      </c>
      <c r="AM640" s="186">
        <f t="shared" si="1032"/>
        <v>7.3625399077687115E-2</v>
      </c>
      <c r="AN640" s="186">
        <f t="shared" si="1032"/>
        <v>7.2627180473569017E-2</v>
      </c>
      <c r="AO640" s="186">
        <f t="shared" si="1032"/>
        <v>7.3001302854435624E-2</v>
      </c>
      <c r="AP640" s="186">
        <f t="shared" si="1032"/>
        <v>7.0088375254928614E-2</v>
      </c>
      <c r="AQ640" s="186">
        <f t="shared" si="1032"/>
        <v>7.341333839294184E-2</v>
      </c>
      <c r="AR640" s="186">
        <f t="shared" si="1032"/>
        <v>7.1951288267463484E-2</v>
      </c>
      <c r="AS640" s="186">
        <f t="shared" si="1032"/>
        <v>7.2274843474072883E-2</v>
      </c>
      <c r="AT640" s="186">
        <f t="shared" si="1032"/>
        <v>7.1318118304611086E-2</v>
      </c>
      <c r="AU640" s="186">
        <f t="shared" si="1032"/>
        <v>7.4925192362496437E-2</v>
      </c>
      <c r="AV640" s="186">
        <f t="shared" si="1032"/>
        <v>7.4773604371250621E-2</v>
      </c>
      <c r="AW640" s="186">
        <f t="shared" si="1032"/>
        <v>7.5007738074767003E-2</v>
      </c>
      <c r="AX640" s="186">
        <f t="shared" si="1032"/>
        <v>7.1923474663908998E-2</v>
      </c>
      <c r="AY640" s="186">
        <f t="shared" si="1032"/>
        <v>7.4458733034361915E-2</v>
      </c>
      <c r="AZ640" s="186">
        <f t="shared" si="1032"/>
        <v>6.9721943528737271E-2</v>
      </c>
      <c r="BA640" s="186">
        <f t="shared" si="1032"/>
        <v>6.7157032822149743E-2</v>
      </c>
      <c r="BB640" s="186">
        <f t="shared" si="1032"/>
        <v>6.2751677852348989E-2</v>
      </c>
      <c r="BC640" s="186">
        <f t="shared" si="1032"/>
        <v>6.575470231618219E-2</v>
      </c>
      <c r="BD640" s="186">
        <f t="shared" si="1032"/>
        <v>6.6451387676732407E-2</v>
      </c>
      <c r="BE640" s="186">
        <f t="shared" si="1032"/>
        <v>6.8655270477202407E-2</v>
      </c>
      <c r="BF640" s="186">
        <f t="shared" si="1032"/>
        <v>6.8327183271832709E-2</v>
      </c>
      <c r="BG640" s="186">
        <f t="shared" si="1032"/>
        <v>7.0611552940589864E-2</v>
      </c>
      <c r="BH640" s="186">
        <f t="shared" si="1032"/>
        <v>6.9809353998079818E-2</v>
      </c>
      <c r="BI640" s="186">
        <f t="shared" si="1032"/>
        <v>7.1408461518773517E-2</v>
      </c>
      <c r="BJ640" s="186">
        <f t="shared" ref="BJ640" si="1033">++BJ225/BJ228*0.3</f>
        <v>7.0156939072162403E-2</v>
      </c>
      <c r="BK640" s="187">
        <f>+BJ640</f>
        <v>7.0156939072162403E-2</v>
      </c>
      <c r="BL640" s="187">
        <f t="shared" ref="BL640:BO645" si="1034">+BK640</f>
        <v>7.0156939072162403E-2</v>
      </c>
      <c r="BM640" s="187">
        <f t="shared" si="1034"/>
        <v>7.0156939072162403E-2</v>
      </c>
      <c r="BN640" s="187">
        <f t="shared" si="1034"/>
        <v>7.0156939072162403E-2</v>
      </c>
      <c r="BO640" s="187">
        <f t="shared" si="1034"/>
        <v>7.0156939072162403E-2</v>
      </c>
      <c r="BP640" s="106"/>
      <c r="BQ640" s="106"/>
      <c r="BR640" s="106"/>
      <c r="BS640" s="106"/>
      <c r="BT640" s="106"/>
      <c r="BU640" s="99">
        <f t="shared" ref="BU640:BU645" si="1035">+AVERAGE(H640:K640)</f>
        <v>9.3277638956538955E-2</v>
      </c>
      <c r="BV640" s="99">
        <f t="shared" ref="BV640:BV645" si="1036">+AVERAGE(L640:O640)</f>
        <v>8.6254288437579221E-2</v>
      </c>
      <c r="BW640" s="99">
        <f t="shared" ref="BW640:BW645" si="1037">+AVERAGE(P640:S640)</f>
        <v>8.3757772286457699E-2</v>
      </c>
      <c r="BX640" s="99">
        <f t="shared" ref="BX640:BX645" si="1038">+AVERAGE(T640:W640)</f>
        <v>8.1982821987473434E-2</v>
      </c>
      <c r="BY640" s="99">
        <f t="shared" ref="BY640:BY645" si="1039">+AVERAGE(X640:AA640)</f>
        <v>7.5237455749551471E-2</v>
      </c>
      <c r="BZ640" s="99">
        <f t="shared" ref="BZ640:BZ645" si="1040">+AVERAGE(AB640:AE640)</f>
        <v>7.143915674731359E-2</v>
      </c>
      <c r="CA640" s="99">
        <f t="shared" ref="CA640:CA645" si="1041">+AVERAGE(AF640:AI640)</f>
        <v>7.2643271371525986E-2</v>
      </c>
      <c r="CB640" s="99">
        <f t="shared" ref="CB640:CB645" si="1042">+AVERAGE(AJ640:AM640)</f>
        <v>7.4253858561889124E-2</v>
      </c>
      <c r="CC640" s="99">
        <f t="shared" ref="CC640:CC645" si="1043">+AVERAGE(AN640:AQ640)</f>
        <v>7.2282549243968777E-2</v>
      </c>
      <c r="CD640" s="99">
        <f t="shared" ref="CD640:CD645" si="1044">+AVERAGE(AR640:AU640)</f>
        <v>7.261736060216098E-2</v>
      </c>
      <c r="CE640" s="99">
        <f t="shared" ref="CE640:CE645" si="1045">+AVERAGE(AV640:AY640)</f>
        <v>7.4040887536072131E-2</v>
      </c>
      <c r="CF640" s="99">
        <f t="shared" ref="CF640:CF645" si="1046">+AVERAGE(AZ640:BC640)</f>
        <v>6.6346339129854548E-2</v>
      </c>
      <c r="CG640" s="99">
        <f t="shared" ref="CG640:CG645" si="1047">+AVERAGE(BD640:BG640)</f>
        <v>6.8511348591589347E-2</v>
      </c>
      <c r="CH640" s="99">
        <f>+AVERAGE(BH640:BK640)</f>
        <v>7.0382923415294535E-2</v>
      </c>
      <c r="CI640" s="99">
        <f>+AVERAGE(BL640:BO640)</f>
        <v>7.0156939072162403E-2</v>
      </c>
    </row>
    <row r="641" spans="2:91" s="76" customFormat="1" x14ac:dyDescent="0.2">
      <c r="B641" t="s">
        <v>227</v>
      </c>
      <c r="C641" s="106"/>
      <c r="D641" s="186">
        <f t="shared" ref="D641:AI641" si="1048">+D225/D228-D640</f>
        <v>0.19478260869565217</v>
      </c>
      <c r="E641" s="186">
        <f t="shared" si="1048"/>
        <v>0.20951276102088168</v>
      </c>
      <c r="F641" s="186">
        <f t="shared" si="1048"/>
        <v>0.20085653104925055</v>
      </c>
      <c r="G641" s="186">
        <f t="shared" si="1048"/>
        <v>0.20875512995896034</v>
      </c>
      <c r="H641" s="186">
        <f t="shared" si="1048"/>
        <v>0.21928864569083445</v>
      </c>
      <c r="I641" s="186">
        <f t="shared" si="1048"/>
        <v>0.21508379888268159</v>
      </c>
      <c r="J641" s="186">
        <f t="shared" si="1048"/>
        <v>0.2127882599580713</v>
      </c>
      <c r="K641" s="186">
        <f t="shared" si="1048"/>
        <v>0.22343059239610963</v>
      </c>
      <c r="L641" s="186">
        <f t="shared" si="1048"/>
        <v>0.2170132325141777</v>
      </c>
      <c r="M641" s="186">
        <f t="shared" si="1048"/>
        <v>0.20456081081081079</v>
      </c>
      <c r="N641" s="186">
        <f t="shared" si="1048"/>
        <v>0.18914421553090333</v>
      </c>
      <c r="O641" s="186">
        <f t="shared" si="1048"/>
        <v>0.19432176656151418</v>
      </c>
      <c r="P641" s="186">
        <f t="shared" si="1048"/>
        <v>0.20308641975308644</v>
      </c>
      <c r="Q641" s="186">
        <f t="shared" si="1048"/>
        <v>0.19498069498069498</v>
      </c>
      <c r="R641" s="186">
        <f t="shared" si="1048"/>
        <v>0.18680555555555556</v>
      </c>
      <c r="S641" s="186">
        <f t="shared" si="1048"/>
        <v>0.19686653771760154</v>
      </c>
      <c r="T641" s="186">
        <f t="shared" si="1048"/>
        <v>0.1952837729816147</v>
      </c>
      <c r="U641" s="186">
        <f t="shared" si="1048"/>
        <v>0.19821305841924397</v>
      </c>
      <c r="V641" s="186">
        <f t="shared" si="1048"/>
        <v>0.18445207617858261</v>
      </c>
      <c r="W641" s="186">
        <f t="shared" si="1048"/>
        <v>0.18722409763697739</v>
      </c>
      <c r="X641" s="186">
        <f t="shared" si="1048"/>
        <v>0.17939599209709284</v>
      </c>
      <c r="Y641" s="186">
        <f t="shared" si="1048"/>
        <v>0.1795893122216724</v>
      </c>
      <c r="Z641" s="186">
        <f t="shared" si="1048"/>
        <v>0.16874027993779162</v>
      </c>
      <c r="AA641" s="186">
        <f t="shared" si="1048"/>
        <v>0.17449066940592367</v>
      </c>
      <c r="AB641" s="186">
        <f t="shared" si="1048"/>
        <v>0.16999256781865479</v>
      </c>
      <c r="AC641" s="186">
        <f t="shared" si="1048"/>
        <v>0.17238968303293972</v>
      </c>
      <c r="AD641" s="186">
        <f t="shared" si="1048"/>
        <v>0.16027104136947218</v>
      </c>
      <c r="AE641" s="186">
        <f t="shared" si="1048"/>
        <v>0.16411217075386014</v>
      </c>
      <c r="AF641" s="186">
        <f t="shared" si="1048"/>
        <v>0.16606475716064756</v>
      </c>
      <c r="AG641" s="186">
        <f t="shared" si="1048"/>
        <v>0.16839055793991414</v>
      </c>
      <c r="AH641" s="186">
        <f t="shared" si="1048"/>
        <v>0.16817081437009779</v>
      </c>
      <c r="AI641" s="186">
        <f t="shared" si="1048"/>
        <v>0.17537773666358314</v>
      </c>
      <c r="AJ641" s="186">
        <f t="shared" ref="AJ641:BI641" si="1049">+AJ225/AJ228-AJ640</f>
        <v>0.17760320909242855</v>
      </c>
      <c r="AK641" s="186">
        <f t="shared" si="1049"/>
        <v>0.17469579018970599</v>
      </c>
      <c r="AL641" s="186">
        <f t="shared" si="1049"/>
        <v>0.16894441611422745</v>
      </c>
      <c r="AM641" s="186">
        <f t="shared" si="1049"/>
        <v>0.17179259784793663</v>
      </c>
      <c r="AN641" s="186">
        <f t="shared" si="1049"/>
        <v>0.16946342110499435</v>
      </c>
      <c r="AO641" s="186">
        <f t="shared" si="1049"/>
        <v>0.17033637332701645</v>
      </c>
      <c r="AP641" s="186">
        <f t="shared" si="1049"/>
        <v>0.16353954226150011</v>
      </c>
      <c r="AQ641" s="186">
        <f t="shared" si="1049"/>
        <v>0.17129778958353098</v>
      </c>
      <c r="AR641" s="186">
        <f t="shared" si="1049"/>
        <v>0.16788633929074814</v>
      </c>
      <c r="AS641" s="186">
        <f t="shared" si="1049"/>
        <v>0.1686413014395034</v>
      </c>
      <c r="AT641" s="186">
        <f t="shared" si="1049"/>
        <v>0.16640894271075918</v>
      </c>
      <c r="AU641" s="186">
        <f t="shared" si="1049"/>
        <v>0.17482544884582502</v>
      </c>
      <c r="AV641" s="186">
        <f t="shared" si="1049"/>
        <v>0.17447174353291811</v>
      </c>
      <c r="AW641" s="186">
        <f t="shared" si="1049"/>
        <v>0.17501805550778965</v>
      </c>
      <c r="AX641" s="186">
        <f t="shared" si="1049"/>
        <v>0.16782144088245432</v>
      </c>
      <c r="AY641" s="186">
        <f t="shared" si="1049"/>
        <v>0.17373704374684446</v>
      </c>
      <c r="AZ641" s="186">
        <f t="shared" si="1049"/>
        <v>0.16268453490038698</v>
      </c>
      <c r="BA641" s="186">
        <f t="shared" si="1049"/>
        <v>0.15669974325168273</v>
      </c>
      <c r="BB641" s="186">
        <f t="shared" si="1049"/>
        <v>0.146420581655481</v>
      </c>
      <c r="BC641" s="186">
        <f t="shared" si="1049"/>
        <v>0.15342763873775844</v>
      </c>
      <c r="BD641" s="186">
        <f t="shared" si="1049"/>
        <v>0.15505323791237563</v>
      </c>
      <c r="BE641" s="186">
        <f t="shared" si="1049"/>
        <v>0.16019563111347229</v>
      </c>
      <c r="BF641" s="186">
        <f t="shared" si="1049"/>
        <v>0.15943009430094301</v>
      </c>
      <c r="BG641" s="186">
        <f t="shared" si="1049"/>
        <v>0.16476029019470967</v>
      </c>
      <c r="BH641" s="186">
        <f t="shared" si="1049"/>
        <v>0.16288849266218625</v>
      </c>
      <c r="BI641" s="186">
        <f t="shared" si="1049"/>
        <v>0.16661974354380488</v>
      </c>
      <c r="BJ641" s="186">
        <f t="shared" ref="BJ641" si="1050">+BJ225/BJ228-BJ640</f>
        <v>0.16369952450171227</v>
      </c>
      <c r="BK641" s="187">
        <f t="shared" ref="BK641:BK645" si="1051">+BJ641</f>
        <v>0.16369952450171227</v>
      </c>
      <c r="BL641" s="187">
        <f t="shared" si="1034"/>
        <v>0.16369952450171227</v>
      </c>
      <c r="BM641" s="187">
        <f t="shared" si="1034"/>
        <v>0.16369952450171227</v>
      </c>
      <c r="BN641" s="187">
        <f t="shared" si="1034"/>
        <v>0.16369952450171227</v>
      </c>
      <c r="BO641" s="187">
        <f t="shared" si="1034"/>
        <v>0.16369952450171227</v>
      </c>
      <c r="BP641" s="106"/>
      <c r="BQ641" s="106"/>
      <c r="BR641" s="106"/>
      <c r="BS641" s="106"/>
      <c r="BT641" s="106"/>
      <c r="BU641" s="99">
        <f t="shared" si="1035"/>
        <v>0.21764782423192425</v>
      </c>
      <c r="BV641" s="99">
        <f t="shared" si="1036"/>
        <v>0.20126000635435148</v>
      </c>
      <c r="BW641" s="99">
        <f t="shared" si="1037"/>
        <v>0.19543480200173463</v>
      </c>
      <c r="BX641" s="99">
        <f t="shared" si="1038"/>
        <v>0.19129325130410468</v>
      </c>
      <c r="BY641" s="99">
        <f t="shared" si="1039"/>
        <v>0.17555406341562013</v>
      </c>
      <c r="BZ641" s="99">
        <f t="shared" si="1040"/>
        <v>0.16669136574373172</v>
      </c>
      <c r="CA641" s="99">
        <f t="shared" si="1041"/>
        <v>0.16950096653356067</v>
      </c>
      <c r="CB641" s="99">
        <f t="shared" si="1042"/>
        <v>0.17325900331107466</v>
      </c>
      <c r="CC641" s="99">
        <f t="shared" si="1043"/>
        <v>0.16865928156926047</v>
      </c>
      <c r="CD641" s="99">
        <f t="shared" si="1044"/>
        <v>0.16944050807170891</v>
      </c>
      <c r="CE641" s="99">
        <f t="shared" si="1045"/>
        <v>0.17276207091750162</v>
      </c>
      <c r="CF641" s="99">
        <f t="shared" si="1046"/>
        <v>0.15480812463632729</v>
      </c>
      <c r="CG641" s="99">
        <f t="shared" si="1047"/>
        <v>0.15985981338037514</v>
      </c>
      <c r="CH641" s="99">
        <f t="shared" ref="CH641:CH645" si="1052">+AVERAGE(BH641:BK641)</f>
        <v>0.16422682130235391</v>
      </c>
      <c r="CI641" s="99">
        <f t="shared" ref="CI641:CI645" si="1053">+AVERAGE(BL641:BO641)</f>
        <v>0.16369952450171227</v>
      </c>
    </row>
    <row r="642" spans="2:91" s="76" customFormat="1" x14ac:dyDescent="0.2">
      <c r="B642" t="s">
        <v>229</v>
      </c>
      <c r="C642" s="106"/>
      <c r="D642" s="186">
        <f t="shared" ref="D642:AI642" si="1054">++D226/D228*0.3</f>
        <v>1.9130434782608695E-2</v>
      </c>
      <c r="E642" s="186">
        <f t="shared" si="1054"/>
        <v>2.1577726218097445E-2</v>
      </c>
      <c r="F642" s="186">
        <f t="shared" si="1054"/>
        <v>2.3768736616702354E-2</v>
      </c>
      <c r="G642" s="186">
        <f t="shared" si="1054"/>
        <v>2.3803009575923392E-2</v>
      </c>
      <c r="H642" s="186">
        <f t="shared" si="1054"/>
        <v>2.5444596443228454E-2</v>
      </c>
      <c r="I642" s="186">
        <f t="shared" si="1054"/>
        <v>2.7486033519553071E-2</v>
      </c>
      <c r="J642" s="186">
        <f t="shared" si="1054"/>
        <v>3.270440251572327E-2</v>
      </c>
      <c r="K642" s="186">
        <f t="shared" si="1054"/>
        <v>3.0503978779840846E-2</v>
      </c>
      <c r="L642" s="186">
        <f t="shared" si="1054"/>
        <v>3.3459357277882795E-2</v>
      </c>
      <c r="M642" s="186">
        <f t="shared" si="1054"/>
        <v>3.4206081081081079E-2</v>
      </c>
      <c r="N642" s="186">
        <f t="shared" si="1054"/>
        <v>3.6608557844690963E-2</v>
      </c>
      <c r="O642" s="186">
        <f t="shared" si="1054"/>
        <v>3.7476340694006308E-2</v>
      </c>
      <c r="P642" s="186">
        <f t="shared" si="1054"/>
        <v>4.0534979423868307E-2</v>
      </c>
      <c r="Q642" s="186">
        <f t="shared" si="1054"/>
        <v>4.087148372862659E-2</v>
      </c>
      <c r="R642" s="186">
        <f t="shared" si="1054"/>
        <v>4.1369047619047618E-2</v>
      </c>
      <c r="S642" s="186">
        <f t="shared" si="1054"/>
        <v>3.9574468085106382E-2</v>
      </c>
      <c r="T642" s="186">
        <f t="shared" si="1054"/>
        <v>4.2446043165467628E-2</v>
      </c>
      <c r="U642" s="186">
        <f t="shared" si="1054"/>
        <v>4.4432989690721646E-2</v>
      </c>
      <c r="V642" s="186">
        <f t="shared" si="1054"/>
        <v>4.6081798314080553E-2</v>
      </c>
      <c r="W642" s="186">
        <f t="shared" si="1054"/>
        <v>4.3157621397039728E-2</v>
      </c>
      <c r="X642" s="186">
        <f t="shared" si="1054"/>
        <v>4.5893310753598648E-2</v>
      </c>
      <c r="Y642" s="186">
        <f t="shared" si="1054"/>
        <v>4.6239485403265709E-2</v>
      </c>
      <c r="Z642" s="186">
        <f t="shared" si="1054"/>
        <v>4.7256165296600754E-2</v>
      </c>
      <c r="AA642" s="186">
        <f t="shared" si="1054"/>
        <v>4.3554185927067286E-2</v>
      </c>
      <c r="AB642" s="186">
        <f t="shared" si="1054"/>
        <v>4.8049052396878483E-2</v>
      </c>
      <c r="AC642" s="186">
        <f t="shared" si="1054"/>
        <v>4.7778123057799875E-2</v>
      </c>
      <c r="AD642" s="186">
        <f t="shared" si="1054"/>
        <v>4.9386590584878744E-2</v>
      </c>
      <c r="AE642" s="186">
        <f t="shared" si="1054"/>
        <v>4.5946866485013622E-2</v>
      </c>
      <c r="AF642" s="186">
        <f t="shared" si="1054"/>
        <v>5.1369863013698627E-2</v>
      </c>
      <c r="AG642" s="186">
        <f t="shared" si="1054"/>
        <v>5.0504291845493564E-2</v>
      </c>
      <c r="AH642" s="186">
        <f t="shared" si="1054"/>
        <v>5.112811077757335E-2</v>
      </c>
      <c r="AI642" s="186">
        <f t="shared" si="1054"/>
        <v>4.7617946345975944E-2</v>
      </c>
      <c r="AJ642" s="186">
        <f t="shared" ref="AJ642:BI642" si="1055">++AJ226/AJ228*0.3</f>
        <v>5.2423533344476018E-2</v>
      </c>
      <c r="AK642" s="186">
        <f t="shared" si="1055"/>
        <v>5.2513037563298309E-2</v>
      </c>
      <c r="AL642" s="186">
        <f t="shared" si="1055"/>
        <v>5.2932177460479346E-2</v>
      </c>
      <c r="AM642" s="186">
        <f t="shared" si="1055"/>
        <v>4.8935792834338417E-2</v>
      </c>
      <c r="AN642" s="186">
        <f t="shared" si="1055"/>
        <v>5.3366054254825233E-2</v>
      </c>
      <c r="AO642" s="186">
        <f t="shared" si="1055"/>
        <v>5.3511784910576808E-2</v>
      </c>
      <c r="AP642" s="186">
        <f t="shared" si="1055"/>
        <v>5.5523453433038751E-2</v>
      </c>
      <c r="AQ642" s="186">
        <f t="shared" si="1055"/>
        <v>5.2153495873256801E-2</v>
      </c>
      <c r="AR642" s="186">
        <f t="shared" si="1055"/>
        <v>5.5088233635902345E-2</v>
      </c>
      <c r="AS642" s="186">
        <f t="shared" si="1055"/>
        <v>5.363621769144325E-2</v>
      </c>
      <c r="AT642" s="186">
        <f t="shared" si="1055"/>
        <v>5.9105728924080114E-2</v>
      </c>
      <c r="AU642" s="186">
        <f t="shared" si="1055"/>
        <v>5.1221858079224851E-2</v>
      </c>
      <c r="AV642" s="186">
        <f t="shared" si="1055"/>
        <v>5.4896641320545642E-2</v>
      </c>
      <c r="AW642" s="186">
        <f t="shared" si="1055"/>
        <v>5.3547477387625955E-2</v>
      </c>
      <c r="AX642" s="186">
        <f t="shared" si="1055"/>
        <v>5.6473629782833504E-2</v>
      </c>
      <c r="AY642" s="186">
        <f t="shared" si="1055"/>
        <v>5.5632443348875883E-2</v>
      </c>
      <c r="AZ642" s="186">
        <f t="shared" si="1055"/>
        <v>6.1906980077397158E-2</v>
      </c>
      <c r="BA642" s="186">
        <f t="shared" si="1055"/>
        <v>6.1494691555062105E-2</v>
      </c>
      <c r="BB642" s="186">
        <f t="shared" si="1055"/>
        <v>6.2589305044381899E-2</v>
      </c>
      <c r="BC642" s="186">
        <f t="shared" si="1055"/>
        <v>5.6427794186227266E-2</v>
      </c>
      <c r="BD642" s="186">
        <f t="shared" si="1055"/>
        <v>6.2419270378774656E-2</v>
      </c>
      <c r="BE642" s="186">
        <f t="shared" si="1055"/>
        <v>6.1080033751054717E-2</v>
      </c>
      <c r="BF642" s="186">
        <f t="shared" si="1055"/>
        <v>6.0868037251801087E-2</v>
      </c>
      <c r="BG642" s="186">
        <f t="shared" si="1055"/>
        <v>5.6184089152601528E-2</v>
      </c>
      <c r="BH642" s="186">
        <f t="shared" si="1055"/>
        <v>6.1563571526539566E-2</v>
      </c>
      <c r="BI642" s="186">
        <f t="shared" si="1055"/>
        <v>6.0566660694632846E-2</v>
      </c>
      <c r="BJ642" s="186">
        <f t="shared" ref="BJ642" si="1056">++BJ226/BJ228*0.3</f>
        <v>6.0755377072605872E-2</v>
      </c>
      <c r="BK642" s="187">
        <f t="shared" si="1051"/>
        <v>6.0755377072605872E-2</v>
      </c>
      <c r="BL642" s="187">
        <f t="shared" si="1034"/>
        <v>6.0755377072605872E-2</v>
      </c>
      <c r="BM642" s="187">
        <f t="shared" si="1034"/>
        <v>6.0755377072605872E-2</v>
      </c>
      <c r="BN642" s="187">
        <f t="shared" si="1034"/>
        <v>6.0755377072605872E-2</v>
      </c>
      <c r="BO642" s="187">
        <f t="shared" si="1034"/>
        <v>6.0755377072605872E-2</v>
      </c>
      <c r="BP642" s="106"/>
      <c r="BQ642" s="106"/>
      <c r="BR642" s="106"/>
      <c r="BS642" s="106"/>
      <c r="BT642" s="106"/>
      <c r="BU642" s="99">
        <f t="shared" si="1035"/>
        <v>2.9034752814586409E-2</v>
      </c>
      <c r="BV642" s="99">
        <f t="shared" si="1036"/>
        <v>3.5437584224415286E-2</v>
      </c>
      <c r="BW642" s="99">
        <f t="shared" si="1037"/>
        <v>4.0587494714162217E-2</v>
      </c>
      <c r="BX642" s="99">
        <f t="shared" si="1038"/>
        <v>4.4029613141827392E-2</v>
      </c>
      <c r="BY642" s="99">
        <f t="shared" si="1039"/>
        <v>4.5735786845133096E-2</v>
      </c>
      <c r="BZ642" s="99">
        <f t="shared" si="1040"/>
        <v>4.7790158131142679E-2</v>
      </c>
      <c r="CA642" s="99">
        <f t="shared" si="1041"/>
        <v>5.0155052995685366E-2</v>
      </c>
      <c r="CB642" s="99">
        <f t="shared" si="1042"/>
        <v>5.1701135300648023E-2</v>
      </c>
      <c r="CC642" s="99">
        <f t="shared" si="1043"/>
        <v>5.3638697117924398E-2</v>
      </c>
      <c r="CD642" s="99">
        <f t="shared" si="1044"/>
        <v>5.4763009582662642E-2</v>
      </c>
      <c r="CE642" s="99">
        <f t="shared" si="1045"/>
        <v>5.5137547959970244E-2</v>
      </c>
      <c r="CF642" s="99">
        <f t="shared" si="1046"/>
        <v>6.0604692715767107E-2</v>
      </c>
      <c r="CG642" s="99">
        <f t="shared" si="1047"/>
        <v>6.0137857633558001E-2</v>
      </c>
      <c r="CH642" s="99">
        <f t="shared" si="1052"/>
        <v>6.0910246591596037E-2</v>
      </c>
      <c r="CI642" s="99">
        <f t="shared" si="1053"/>
        <v>6.0755377072605872E-2</v>
      </c>
    </row>
    <row r="643" spans="2:91" s="76" customFormat="1" x14ac:dyDescent="0.2">
      <c r="B643" t="s">
        <v>231</v>
      </c>
      <c r="C643" s="106"/>
      <c r="D643" s="186">
        <f t="shared" ref="D643:AI643" si="1057">++D226/D228*0.5</f>
        <v>3.1884057971014491E-2</v>
      </c>
      <c r="E643" s="186">
        <f t="shared" si="1057"/>
        <v>3.5962877030162411E-2</v>
      </c>
      <c r="F643" s="186">
        <f t="shared" si="1057"/>
        <v>3.961456102783726E-2</v>
      </c>
      <c r="G643" s="186">
        <f t="shared" si="1057"/>
        <v>3.9671682626538987E-2</v>
      </c>
      <c r="H643" s="186">
        <f t="shared" si="1057"/>
        <v>4.240766073871409E-2</v>
      </c>
      <c r="I643" s="186">
        <f t="shared" si="1057"/>
        <v>4.5810055865921788E-2</v>
      </c>
      <c r="J643" s="186">
        <f t="shared" si="1057"/>
        <v>5.450733752620545E-2</v>
      </c>
      <c r="K643" s="186">
        <f t="shared" si="1057"/>
        <v>5.0839964633068079E-2</v>
      </c>
      <c r="L643" s="186">
        <f t="shared" si="1057"/>
        <v>5.5765595463137994E-2</v>
      </c>
      <c r="M643" s="186">
        <f t="shared" si="1057"/>
        <v>5.7010135135135136E-2</v>
      </c>
      <c r="N643" s="186">
        <f t="shared" si="1057"/>
        <v>6.1014263074484945E-2</v>
      </c>
      <c r="O643" s="186">
        <f t="shared" si="1057"/>
        <v>6.2460567823343846E-2</v>
      </c>
      <c r="P643" s="186">
        <f t="shared" si="1057"/>
        <v>6.7558299039780514E-2</v>
      </c>
      <c r="Q643" s="186">
        <f t="shared" si="1057"/>
        <v>6.8119139547710983E-2</v>
      </c>
      <c r="R643" s="186">
        <f t="shared" si="1057"/>
        <v>6.8948412698412703E-2</v>
      </c>
      <c r="S643" s="186">
        <f t="shared" si="1057"/>
        <v>6.5957446808510636E-2</v>
      </c>
      <c r="T643" s="186">
        <f t="shared" si="1057"/>
        <v>7.0743405275779381E-2</v>
      </c>
      <c r="U643" s="186">
        <f t="shared" si="1057"/>
        <v>7.4054982817869416E-2</v>
      </c>
      <c r="V643" s="186">
        <f t="shared" si="1057"/>
        <v>7.6802997190134253E-2</v>
      </c>
      <c r="W643" s="186">
        <f t="shared" si="1057"/>
        <v>7.1929368995066217E-2</v>
      </c>
      <c r="X643" s="186">
        <f t="shared" si="1057"/>
        <v>7.6488851255997747E-2</v>
      </c>
      <c r="Y643" s="186">
        <f t="shared" si="1057"/>
        <v>7.7065809005442854E-2</v>
      </c>
      <c r="Z643" s="186">
        <f t="shared" si="1057"/>
        <v>7.8760275494334592E-2</v>
      </c>
      <c r="AA643" s="186">
        <f t="shared" si="1057"/>
        <v>7.2590309878445475E-2</v>
      </c>
      <c r="AB643" s="186">
        <f t="shared" si="1057"/>
        <v>8.0081753994797472E-2</v>
      </c>
      <c r="AC643" s="186">
        <f t="shared" si="1057"/>
        <v>7.9630205096333131E-2</v>
      </c>
      <c r="AD643" s="186">
        <f t="shared" si="1057"/>
        <v>8.2310984308131246E-2</v>
      </c>
      <c r="AE643" s="186">
        <f t="shared" si="1057"/>
        <v>7.657811080835604E-2</v>
      </c>
      <c r="AF643" s="186">
        <f t="shared" si="1057"/>
        <v>8.5616438356164379E-2</v>
      </c>
      <c r="AG643" s="186">
        <f t="shared" si="1057"/>
        <v>8.4173819742489275E-2</v>
      </c>
      <c r="AH643" s="186">
        <f t="shared" si="1057"/>
        <v>8.5213517962622248E-2</v>
      </c>
      <c r="AI643" s="186">
        <f t="shared" si="1057"/>
        <v>7.9363243909959913E-2</v>
      </c>
      <c r="AJ643" s="186">
        <f t="shared" ref="AJ643:BI643" si="1058">++AJ226/AJ228*0.5</f>
        <v>8.7372555574126695E-2</v>
      </c>
      <c r="AK643" s="186">
        <f t="shared" si="1058"/>
        <v>8.7521729272163853E-2</v>
      </c>
      <c r="AL643" s="186">
        <f t="shared" si="1058"/>
        <v>8.8220295767465581E-2</v>
      </c>
      <c r="AM643" s="186">
        <f t="shared" si="1058"/>
        <v>8.1559654723897368E-2</v>
      </c>
      <c r="AN643" s="186">
        <f t="shared" si="1058"/>
        <v>8.8943423758042053E-2</v>
      </c>
      <c r="AO643" s="186">
        <f t="shared" si="1058"/>
        <v>8.9186308184294683E-2</v>
      </c>
      <c r="AP643" s="186">
        <f t="shared" si="1058"/>
        <v>9.2539089055064583E-2</v>
      </c>
      <c r="AQ643" s="186">
        <f t="shared" si="1058"/>
        <v>8.6922493122094671E-2</v>
      </c>
      <c r="AR643" s="186">
        <f t="shared" si="1058"/>
        <v>9.1813722726503913E-2</v>
      </c>
      <c r="AS643" s="186">
        <f t="shared" si="1058"/>
        <v>8.9393696152405416E-2</v>
      </c>
      <c r="AT643" s="186">
        <f t="shared" si="1058"/>
        <v>9.850954820680019E-2</v>
      </c>
      <c r="AU643" s="186">
        <f t="shared" si="1058"/>
        <v>8.5369763465374754E-2</v>
      </c>
      <c r="AV643" s="186">
        <f t="shared" si="1058"/>
        <v>9.1494402200909403E-2</v>
      </c>
      <c r="AW643" s="186">
        <f t="shared" si="1058"/>
        <v>8.9245795646043263E-2</v>
      </c>
      <c r="AX643" s="186">
        <f t="shared" si="1058"/>
        <v>9.4122716304722506E-2</v>
      </c>
      <c r="AY643" s="186">
        <f t="shared" si="1058"/>
        <v>9.2720738914793141E-2</v>
      </c>
      <c r="AZ643" s="186">
        <f t="shared" si="1058"/>
        <v>0.10317830012899527</v>
      </c>
      <c r="BA643" s="186">
        <f t="shared" si="1058"/>
        <v>0.10249115259177018</v>
      </c>
      <c r="BB643" s="186">
        <f t="shared" si="1058"/>
        <v>0.10431550840730316</v>
      </c>
      <c r="BC643" s="186">
        <f t="shared" si="1058"/>
        <v>9.4046323643712113E-2</v>
      </c>
      <c r="BD643" s="186">
        <f t="shared" si="1058"/>
        <v>0.10403211729795776</v>
      </c>
      <c r="BE643" s="186">
        <f t="shared" si="1058"/>
        <v>0.10180005625175786</v>
      </c>
      <c r="BF643" s="186">
        <f t="shared" si="1058"/>
        <v>0.10144672875300181</v>
      </c>
      <c r="BG643" s="186">
        <f t="shared" si="1058"/>
        <v>9.3640148587669211E-2</v>
      </c>
      <c r="BH643" s="186">
        <f t="shared" si="1058"/>
        <v>0.10260595254423262</v>
      </c>
      <c r="BI643" s="186">
        <f t="shared" si="1058"/>
        <v>0.10094443449105475</v>
      </c>
      <c r="BJ643" s="186">
        <f t="shared" ref="BJ643" si="1059">++BJ226/BJ228*0.5</f>
        <v>0.10125896178767646</v>
      </c>
      <c r="BK643" s="187">
        <f t="shared" si="1051"/>
        <v>0.10125896178767646</v>
      </c>
      <c r="BL643" s="187">
        <f t="shared" si="1034"/>
        <v>0.10125896178767646</v>
      </c>
      <c r="BM643" s="187">
        <f t="shared" si="1034"/>
        <v>0.10125896178767646</v>
      </c>
      <c r="BN643" s="187">
        <f t="shared" si="1034"/>
        <v>0.10125896178767646</v>
      </c>
      <c r="BO643" s="187">
        <f t="shared" si="1034"/>
        <v>0.10125896178767646</v>
      </c>
      <c r="BP643" s="106"/>
      <c r="BQ643" s="106"/>
      <c r="BR643" s="106"/>
      <c r="BS643" s="106"/>
      <c r="BT643" s="106"/>
      <c r="BU643" s="99">
        <f t="shared" si="1035"/>
        <v>4.8391254690977353E-2</v>
      </c>
      <c r="BV643" s="99">
        <f t="shared" si="1036"/>
        <v>5.9062640374025477E-2</v>
      </c>
      <c r="BW643" s="99">
        <f t="shared" si="1037"/>
        <v>6.7645824523603709E-2</v>
      </c>
      <c r="BX643" s="99">
        <f t="shared" si="1038"/>
        <v>7.338268856971232E-2</v>
      </c>
      <c r="BY643" s="99">
        <f t="shared" si="1039"/>
        <v>7.6226311408555167E-2</v>
      </c>
      <c r="BZ643" s="99">
        <f t="shared" si="1040"/>
        <v>7.9650263551904479E-2</v>
      </c>
      <c r="CA643" s="99">
        <f t="shared" si="1041"/>
        <v>8.359175499280895E-2</v>
      </c>
      <c r="CB643" s="99">
        <f t="shared" si="1042"/>
        <v>8.6168558834413378E-2</v>
      </c>
      <c r="CC643" s="99">
        <f t="shared" si="1043"/>
        <v>8.9397828529873991E-2</v>
      </c>
      <c r="CD643" s="99">
        <f t="shared" si="1044"/>
        <v>9.1271682637771079E-2</v>
      </c>
      <c r="CE643" s="99">
        <f t="shared" si="1045"/>
        <v>9.1895913266617085E-2</v>
      </c>
      <c r="CF643" s="99">
        <f t="shared" si="1046"/>
        <v>0.10100782119294519</v>
      </c>
      <c r="CG643" s="99">
        <f t="shared" si="1047"/>
        <v>0.10022976272259666</v>
      </c>
      <c r="CH643" s="99">
        <f t="shared" si="1052"/>
        <v>0.10151707765266008</v>
      </c>
      <c r="CI643" s="99">
        <f t="shared" si="1053"/>
        <v>0.10125896178767646</v>
      </c>
    </row>
    <row r="644" spans="2:91" s="76" customFormat="1" x14ac:dyDescent="0.2">
      <c r="B644" t="s">
        <v>233</v>
      </c>
      <c r="C644" s="106"/>
      <c r="D644" s="186">
        <f t="shared" ref="D644:AI644" si="1060">++D226/D228*0.2</f>
        <v>1.2753623188405797E-2</v>
      </c>
      <c r="E644" s="186">
        <f t="shared" si="1060"/>
        <v>1.4385150812064965E-2</v>
      </c>
      <c r="F644" s="186">
        <f t="shared" si="1060"/>
        <v>1.5845824411134905E-2</v>
      </c>
      <c r="G644" s="186">
        <f t="shared" si="1060"/>
        <v>1.5868673050615595E-2</v>
      </c>
      <c r="H644" s="186">
        <f t="shared" si="1060"/>
        <v>1.6963064295485636E-2</v>
      </c>
      <c r="I644" s="186">
        <f t="shared" si="1060"/>
        <v>1.8324022346368717E-2</v>
      </c>
      <c r="J644" s="186">
        <f t="shared" si="1060"/>
        <v>2.180293501048218E-2</v>
      </c>
      <c r="K644" s="186">
        <f t="shared" si="1060"/>
        <v>2.0335985853227233E-2</v>
      </c>
      <c r="L644" s="186">
        <f t="shared" si="1060"/>
        <v>2.2306238185255199E-2</v>
      </c>
      <c r="M644" s="186">
        <f t="shared" si="1060"/>
        <v>2.2804054054054057E-2</v>
      </c>
      <c r="N644" s="186">
        <f t="shared" si="1060"/>
        <v>2.4405705229793979E-2</v>
      </c>
      <c r="O644" s="186">
        <f t="shared" si="1060"/>
        <v>2.4984227129337538E-2</v>
      </c>
      <c r="P644" s="186">
        <f t="shared" si="1060"/>
        <v>2.7023319615912207E-2</v>
      </c>
      <c r="Q644" s="186">
        <f t="shared" si="1060"/>
        <v>2.7247655819084393E-2</v>
      </c>
      <c r="R644" s="186">
        <f t="shared" si="1060"/>
        <v>2.7579365079365082E-2</v>
      </c>
      <c r="S644" s="186">
        <f t="shared" si="1060"/>
        <v>2.6382978723404255E-2</v>
      </c>
      <c r="T644" s="186">
        <f t="shared" si="1060"/>
        <v>2.8297362110311752E-2</v>
      </c>
      <c r="U644" s="186">
        <f t="shared" si="1060"/>
        <v>2.9621993127147767E-2</v>
      </c>
      <c r="V644" s="186">
        <f t="shared" si="1060"/>
        <v>3.0721198876053703E-2</v>
      </c>
      <c r="W644" s="186">
        <f t="shared" si="1060"/>
        <v>2.877174759802649E-2</v>
      </c>
      <c r="X644" s="186">
        <f t="shared" si="1060"/>
        <v>3.0595540502399099E-2</v>
      </c>
      <c r="Y644" s="186">
        <f t="shared" si="1060"/>
        <v>3.0826323602177144E-2</v>
      </c>
      <c r="Z644" s="186">
        <f t="shared" si="1060"/>
        <v>3.1504110197733838E-2</v>
      </c>
      <c r="AA644" s="186">
        <f t="shared" si="1060"/>
        <v>2.9036123951378192E-2</v>
      </c>
      <c r="AB644" s="186">
        <f t="shared" si="1060"/>
        <v>3.2032701597918989E-2</v>
      </c>
      <c r="AC644" s="186">
        <f t="shared" si="1060"/>
        <v>3.1852082038533257E-2</v>
      </c>
      <c r="AD644" s="186">
        <f t="shared" si="1060"/>
        <v>3.2924393723252503E-2</v>
      </c>
      <c r="AE644" s="186">
        <f t="shared" si="1060"/>
        <v>3.0631244323342417E-2</v>
      </c>
      <c r="AF644" s="186">
        <f t="shared" si="1060"/>
        <v>3.4246575342465752E-2</v>
      </c>
      <c r="AG644" s="186">
        <f t="shared" si="1060"/>
        <v>3.3669527896995712E-2</v>
      </c>
      <c r="AH644" s="186">
        <f t="shared" si="1060"/>
        <v>3.4085407185048898E-2</v>
      </c>
      <c r="AI644" s="186">
        <f t="shared" si="1060"/>
        <v>3.1745297563983969E-2</v>
      </c>
      <c r="AJ644" s="186">
        <f t="shared" ref="AJ644:BI644" si="1061">++AJ226/AJ228*0.2</f>
        <v>3.4949022229650677E-2</v>
      </c>
      <c r="AK644" s="186">
        <f t="shared" si="1061"/>
        <v>3.5008691708865544E-2</v>
      </c>
      <c r="AL644" s="186">
        <f t="shared" si="1061"/>
        <v>3.5288118306986235E-2</v>
      </c>
      <c r="AM644" s="186">
        <f t="shared" si="1061"/>
        <v>3.2623861889558951E-2</v>
      </c>
      <c r="AN644" s="186">
        <f t="shared" si="1061"/>
        <v>3.557736950321682E-2</v>
      </c>
      <c r="AO644" s="186">
        <f t="shared" si="1061"/>
        <v>3.5674523273717874E-2</v>
      </c>
      <c r="AP644" s="186">
        <f t="shared" si="1061"/>
        <v>3.7015635622025832E-2</v>
      </c>
      <c r="AQ644" s="186">
        <f t="shared" si="1061"/>
        <v>3.476899724883787E-2</v>
      </c>
      <c r="AR644" s="186">
        <f t="shared" si="1061"/>
        <v>3.6725489090601568E-2</v>
      </c>
      <c r="AS644" s="186">
        <f t="shared" si="1061"/>
        <v>3.5757478460962167E-2</v>
      </c>
      <c r="AT644" s="186">
        <f t="shared" si="1061"/>
        <v>3.9403819282720076E-2</v>
      </c>
      <c r="AU644" s="186">
        <f t="shared" si="1061"/>
        <v>3.4147905386149903E-2</v>
      </c>
      <c r="AV644" s="186">
        <f t="shared" si="1061"/>
        <v>3.6597760880363761E-2</v>
      </c>
      <c r="AW644" s="186">
        <f t="shared" si="1061"/>
        <v>3.5698318258417308E-2</v>
      </c>
      <c r="AX644" s="186">
        <f t="shared" si="1061"/>
        <v>3.7649086521889003E-2</v>
      </c>
      <c r="AY644" s="186">
        <f t="shared" si="1061"/>
        <v>3.7088295565917258E-2</v>
      </c>
      <c r="AZ644" s="186">
        <f t="shared" si="1061"/>
        <v>4.1271320051598115E-2</v>
      </c>
      <c r="BA644" s="186">
        <f t="shared" si="1061"/>
        <v>4.0996461036708072E-2</v>
      </c>
      <c r="BB644" s="186">
        <f t="shared" si="1061"/>
        <v>4.1726203362921266E-2</v>
      </c>
      <c r="BC644" s="186">
        <f t="shared" si="1061"/>
        <v>3.7618529457484846E-2</v>
      </c>
      <c r="BD644" s="186">
        <f t="shared" si="1061"/>
        <v>4.1612846919183107E-2</v>
      </c>
      <c r="BE644" s="186">
        <f t="shared" si="1061"/>
        <v>4.0720022500703147E-2</v>
      </c>
      <c r="BF644" s="186">
        <f t="shared" si="1061"/>
        <v>4.0578691501200727E-2</v>
      </c>
      <c r="BG644" s="186">
        <f t="shared" si="1061"/>
        <v>3.7456059435067683E-2</v>
      </c>
      <c r="BH644" s="186">
        <f t="shared" si="1061"/>
        <v>4.1042381017693051E-2</v>
      </c>
      <c r="BI644" s="186">
        <f t="shared" si="1061"/>
        <v>4.0377773796421906E-2</v>
      </c>
      <c r="BJ644" s="186">
        <f t="shared" ref="BJ644" si="1062">++BJ226/BJ228*0.2</f>
        <v>4.0503584715070588E-2</v>
      </c>
      <c r="BK644" s="187">
        <f t="shared" si="1051"/>
        <v>4.0503584715070588E-2</v>
      </c>
      <c r="BL644" s="187">
        <f t="shared" si="1034"/>
        <v>4.0503584715070588E-2</v>
      </c>
      <c r="BM644" s="187">
        <f t="shared" si="1034"/>
        <v>4.0503584715070588E-2</v>
      </c>
      <c r="BN644" s="187">
        <f t="shared" si="1034"/>
        <v>4.0503584715070588E-2</v>
      </c>
      <c r="BO644" s="187">
        <f t="shared" si="1034"/>
        <v>4.0503584715070588E-2</v>
      </c>
      <c r="BP644" s="106"/>
      <c r="BQ644" s="106"/>
      <c r="BR644" s="106"/>
      <c r="BS644" s="106"/>
      <c r="BT644" s="106"/>
      <c r="BU644" s="99">
        <f t="shared" si="1035"/>
        <v>1.9356501876390944E-2</v>
      </c>
      <c r="BV644" s="99">
        <f t="shared" si="1036"/>
        <v>2.3625056149610194E-2</v>
      </c>
      <c r="BW644" s="99">
        <f t="shared" si="1037"/>
        <v>2.7058329809441485E-2</v>
      </c>
      <c r="BX644" s="99">
        <f t="shared" si="1038"/>
        <v>2.9353075427884928E-2</v>
      </c>
      <c r="BY644" s="99">
        <f t="shared" si="1039"/>
        <v>3.0490524563422071E-2</v>
      </c>
      <c r="BZ644" s="99">
        <f t="shared" si="1040"/>
        <v>3.1860105420761793E-2</v>
      </c>
      <c r="CA644" s="99">
        <f t="shared" si="1041"/>
        <v>3.3436701997123584E-2</v>
      </c>
      <c r="CB644" s="99">
        <f t="shared" si="1042"/>
        <v>3.4467423533765348E-2</v>
      </c>
      <c r="CC644" s="99">
        <f t="shared" si="1043"/>
        <v>3.5759131411949599E-2</v>
      </c>
      <c r="CD644" s="99">
        <f t="shared" si="1044"/>
        <v>3.650867305510843E-2</v>
      </c>
      <c r="CE644" s="99">
        <f t="shared" si="1045"/>
        <v>3.6758365306646834E-2</v>
      </c>
      <c r="CF644" s="99">
        <f t="shared" si="1046"/>
        <v>4.0403128477178071E-2</v>
      </c>
      <c r="CG644" s="99">
        <f t="shared" si="1047"/>
        <v>4.0091905089038669E-2</v>
      </c>
      <c r="CH644" s="99">
        <f t="shared" si="1052"/>
        <v>4.0606831061064039E-2</v>
      </c>
      <c r="CI644" s="99">
        <f t="shared" si="1053"/>
        <v>4.0503584715070588E-2</v>
      </c>
    </row>
    <row r="645" spans="2:91" s="76" customFormat="1" x14ac:dyDescent="0.2">
      <c r="B645" t="s">
        <v>235</v>
      </c>
      <c r="C645" s="106"/>
      <c r="D645" s="186">
        <f t="shared" ref="D645:AI645" si="1063">++D227/D228*0.5</f>
        <v>1.8840579710144929E-2</v>
      </c>
      <c r="E645" s="186">
        <f t="shared" si="1063"/>
        <v>2.5522041763341066E-2</v>
      </c>
      <c r="F645" s="186">
        <f t="shared" si="1063"/>
        <v>2.676659528907923E-2</v>
      </c>
      <c r="G645" s="186">
        <f t="shared" si="1063"/>
        <v>2.9411764705882353E-2</v>
      </c>
      <c r="H645" s="186">
        <f t="shared" si="1063"/>
        <v>3.1463748290013679E-2</v>
      </c>
      <c r="I645" s="186">
        <f t="shared" si="1063"/>
        <v>3.7430167597765365E-2</v>
      </c>
      <c r="J645" s="186">
        <f t="shared" si="1063"/>
        <v>4.0880503144654086E-2</v>
      </c>
      <c r="K645" s="186">
        <f t="shared" si="1063"/>
        <v>3.8903625110521665E-2</v>
      </c>
      <c r="L645" s="186">
        <f t="shared" si="1063"/>
        <v>4.1115311909262757E-2</v>
      </c>
      <c r="M645" s="186">
        <f t="shared" si="1063"/>
        <v>4.7719594594594593E-2</v>
      </c>
      <c r="N645" s="186">
        <f t="shared" si="1063"/>
        <v>5.150554675118859E-2</v>
      </c>
      <c r="O645" s="186">
        <f t="shared" si="1063"/>
        <v>5.2681388012618298E-2</v>
      </c>
      <c r="P645" s="186">
        <f t="shared" si="1063"/>
        <v>5.4526748971193417E-2</v>
      </c>
      <c r="Q645" s="186">
        <f t="shared" si="1063"/>
        <v>5.8742415885273028E-2</v>
      </c>
      <c r="R645" s="186">
        <f t="shared" si="1063"/>
        <v>5.9027777777777776E-2</v>
      </c>
      <c r="S645" s="186">
        <f t="shared" si="1063"/>
        <v>6.0154738878143134E-2</v>
      </c>
      <c r="T645" s="186">
        <f t="shared" si="1063"/>
        <v>5.4156674660271784E-2</v>
      </c>
      <c r="U645" s="186">
        <f t="shared" si="1063"/>
        <v>5.962199312714777E-2</v>
      </c>
      <c r="V645" s="186">
        <f t="shared" si="1063"/>
        <v>5.5104589447393069E-2</v>
      </c>
      <c r="W645" s="186">
        <f t="shared" si="1063"/>
        <v>5.232407166969618E-2</v>
      </c>
      <c r="X645" s="186">
        <f t="shared" si="1063"/>
        <v>4.9957662997459781E-2</v>
      </c>
      <c r="Y645" s="186">
        <f t="shared" si="1063"/>
        <v>5.1335972290945074E-2</v>
      </c>
      <c r="Z645" s="186">
        <f t="shared" si="1063"/>
        <v>5.0099977782714952E-2</v>
      </c>
      <c r="AA645" s="186">
        <f t="shared" si="1063"/>
        <v>4.7080979284369114E-2</v>
      </c>
      <c r="AB645" s="186">
        <f t="shared" si="1063"/>
        <v>4.3942772203641768E-2</v>
      </c>
      <c r="AC645" s="186">
        <f t="shared" si="1063"/>
        <v>4.7700435052827846E-2</v>
      </c>
      <c r="AD645" s="186">
        <f t="shared" si="1063"/>
        <v>4.9286733238231101E-2</v>
      </c>
      <c r="AE645" s="186">
        <f t="shared" si="1063"/>
        <v>4.7570390554041782E-2</v>
      </c>
      <c r="AF645" s="186">
        <f t="shared" si="1063"/>
        <v>4.8692403486924038E-2</v>
      </c>
      <c r="AG645" s="186">
        <f t="shared" si="1063"/>
        <v>5.1126609442060086E-2</v>
      </c>
      <c r="AH645" s="186">
        <f t="shared" si="1063"/>
        <v>5.0982860462864335E-2</v>
      </c>
      <c r="AI645" s="186">
        <f t="shared" si="1063"/>
        <v>4.8990132593277828E-2</v>
      </c>
      <c r="AJ645" s="186">
        <f t="shared" ref="AJ645:BI645" si="1064">++AJ227/AJ228*0.5</f>
        <v>4.8972087581480861E-2</v>
      </c>
      <c r="AK645" s="186">
        <f t="shared" si="1064"/>
        <v>5.1470032499433147E-2</v>
      </c>
      <c r="AL645" s="186">
        <f t="shared" si="1064"/>
        <v>4.8262548262548263E-2</v>
      </c>
      <c r="AM645" s="186">
        <f t="shared" si="1064"/>
        <v>4.6440818257065156E-2</v>
      </c>
      <c r="AN645" s="186">
        <f t="shared" si="1064"/>
        <v>4.7655369105259665E-2</v>
      </c>
      <c r="AO645" s="186">
        <f t="shared" si="1064"/>
        <v>4.8857041336018002E-2</v>
      </c>
      <c r="AP645" s="186">
        <f t="shared" si="1064"/>
        <v>5.024926353954226E-2</v>
      </c>
      <c r="AQ645" s="186">
        <f t="shared" si="1064"/>
        <v>4.7670998956455747E-2</v>
      </c>
      <c r="AR645" s="186">
        <f t="shared" si="1064"/>
        <v>4.690759429441281E-2</v>
      </c>
      <c r="AS645" s="186">
        <f t="shared" si="1064"/>
        <v>4.1552951249531761E-2</v>
      </c>
      <c r="AT645" s="186">
        <f t="shared" si="1064"/>
        <v>4.6553330228225429E-2</v>
      </c>
      <c r="AU645" s="186">
        <f t="shared" si="1064"/>
        <v>4.5133941293815899E-2</v>
      </c>
      <c r="AV645" s="186">
        <f t="shared" si="1064"/>
        <v>4.6883955523289139E-2</v>
      </c>
      <c r="AW645" s="186">
        <f t="shared" si="1064"/>
        <v>4.9506482787082577E-2</v>
      </c>
      <c r="AX645" s="186">
        <f t="shared" si="1064"/>
        <v>5.1378834884522578E-2</v>
      </c>
      <c r="AY645" s="186">
        <f t="shared" si="1064"/>
        <v>4.8172017463098807E-2</v>
      </c>
      <c r="AZ645" s="186">
        <f t="shared" si="1064"/>
        <v>5.3604701160957433E-2</v>
      </c>
      <c r="BA645" s="186">
        <f t="shared" si="1064"/>
        <v>5.5738671847893967E-2</v>
      </c>
      <c r="BB645" s="186">
        <f t="shared" si="1064"/>
        <v>5.5928411633109618E-2</v>
      </c>
      <c r="BC645" s="186">
        <f t="shared" si="1064"/>
        <v>5.3303279962692365E-2</v>
      </c>
      <c r="BD645" s="186">
        <f t="shared" si="1064"/>
        <v>5.7462035259207539E-2</v>
      </c>
      <c r="BE645" s="186">
        <f t="shared" si="1064"/>
        <v>5.8423700740648142E-2</v>
      </c>
      <c r="BF645" s="186">
        <f t="shared" si="1064"/>
        <v>6.2247408188367596E-2</v>
      </c>
      <c r="BG645" s="186">
        <f t="shared" si="1064"/>
        <v>5.7004313031338037E-2</v>
      </c>
      <c r="BH645" s="186">
        <f t="shared" si="1064"/>
        <v>6.4010423810176936E-2</v>
      </c>
      <c r="BI645" s="186">
        <f t="shared" si="1064"/>
        <v>6.4446776381459389E-2</v>
      </c>
      <c r="BJ645" s="186">
        <f t="shared" ref="BJ645" si="1065">++BJ227/BJ228*0.5</f>
        <v>6.4894429525240827E-2</v>
      </c>
      <c r="BK645" s="187">
        <f t="shared" si="1051"/>
        <v>6.4894429525240827E-2</v>
      </c>
      <c r="BL645" s="187">
        <f t="shared" si="1034"/>
        <v>6.4894429525240827E-2</v>
      </c>
      <c r="BM645" s="187">
        <f t="shared" si="1034"/>
        <v>6.4894429525240827E-2</v>
      </c>
      <c r="BN645" s="187">
        <f t="shared" si="1034"/>
        <v>6.4894429525240827E-2</v>
      </c>
      <c r="BO645" s="187">
        <f t="shared" si="1034"/>
        <v>6.4894429525240827E-2</v>
      </c>
      <c r="BP645" s="106"/>
      <c r="BQ645" s="106"/>
      <c r="BR645" s="106"/>
      <c r="BS645" s="106"/>
      <c r="BT645" s="106"/>
      <c r="BU645" s="99">
        <f t="shared" si="1035"/>
        <v>3.7169511035738699E-2</v>
      </c>
      <c r="BV645" s="99">
        <f t="shared" si="1036"/>
        <v>4.8255460316916056E-2</v>
      </c>
      <c r="BW645" s="99">
        <f t="shared" si="1037"/>
        <v>5.8112920378096837E-2</v>
      </c>
      <c r="BX645" s="99">
        <f t="shared" si="1038"/>
        <v>5.5301832226127202E-2</v>
      </c>
      <c r="BY645" s="99">
        <f t="shared" si="1039"/>
        <v>4.961864808887223E-2</v>
      </c>
      <c r="BZ645" s="99">
        <f t="shared" si="1040"/>
        <v>4.7125082762185619E-2</v>
      </c>
      <c r="CA645" s="99">
        <f t="shared" si="1041"/>
        <v>4.9948001496281577E-2</v>
      </c>
      <c r="CB645" s="99">
        <f t="shared" si="1042"/>
        <v>4.878637165013186E-2</v>
      </c>
      <c r="CC645" s="99">
        <f t="shared" si="1043"/>
        <v>4.8608168234318919E-2</v>
      </c>
      <c r="CD645" s="99">
        <f t="shared" si="1044"/>
        <v>4.5036954266496475E-2</v>
      </c>
      <c r="CE645" s="99">
        <f t="shared" si="1045"/>
        <v>4.8985322664498274E-2</v>
      </c>
      <c r="CF645" s="99">
        <f t="shared" si="1046"/>
        <v>5.4643766151163342E-2</v>
      </c>
      <c r="CG645" s="99">
        <f t="shared" si="1047"/>
        <v>5.8784364304890334E-2</v>
      </c>
      <c r="CH645" s="99">
        <f t="shared" si="1052"/>
        <v>6.4561514810529491E-2</v>
      </c>
      <c r="CI645" s="99">
        <f t="shared" si="1053"/>
        <v>6.4894429525240827E-2</v>
      </c>
    </row>
    <row r="646" spans="2:91" s="76" customFormat="1" x14ac:dyDescent="0.2">
      <c r="B646"/>
      <c r="C646" s="10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c r="AB646" s="186"/>
      <c r="AC646" s="186"/>
      <c r="AD646" s="186"/>
      <c r="AE646" s="186"/>
      <c r="AF646" s="186"/>
      <c r="AG646" s="186"/>
      <c r="AH646" s="186"/>
      <c r="AI646" s="186"/>
      <c r="AJ646" s="186"/>
      <c r="AK646" s="186"/>
      <c r="AL646" s="186"/>
      <c r="AM646" s="186"/>
      <c r="AN646" s="186"/>
      <c r="AO646" s="186"/>
      <c r="AP646" s="186"/>
      <c r="AQ646" s="186"/>
      <c r="AR646" s="186"/>
      <c r="AS646" s="186"/>
      <c r="AT646" s="186"/>
      <c r="AU646" s="186"/>
      <c r="AV646" s="186"/>
      <c r="AW646" s="186"/>
      <c r="AX646" s="186"/>
      <c r="AY646" s="186"/>
      <c r="AZ646" s="186"/>
      <c r="BA646" s="186"/>
      <c r="BB646" s="186"/>
      <c r="BC646" s="186"/>
      <c r="BD646" s="186"/>
      <c r="BE646" s="106"/>
      <c r="BF646" s="106"/>
      <c r="BG646" s="106"/>
      <c r="BH646" s="106"/>
      <c r="BI646" s="106"/>
      <c r="BJ646" s="106"/>
      <c r="BK646" s="106"/>
      <c r="BL646" s="106"/>
      <c r="BM646" s="106"/>
      <c r="BN646" s="106"/>
      <c r="BO646" s="106"/>
      <c r="BP646" s="106"/>
      <c r="BQ646" s="106"/>
      <c r="BR646" s="106"/>
      <c r="BS646" s="106"/>
      <c r="BT646" s="106"/>
      <c r="BU646" s="106"/>
      <c r="BV646" s="106"/>
      <c r="BW646" s="106"/>
      <c r="BX646" s="106"/>
      <c r="BY646" s="106"/>
      <c r="BZ646" s="106"/>
      <c r="CA646" s="106"/>
      <c r="CB646" s="106"/>
      <c r="CC646" s="106"/>
      <c r="CD646" s="106"/>
      <c r="CE646" s="106"/>
      <c r="CF646" s="106"/>
      <c r="CG646" s="106"/>
      <c r="CH646" s="106"/>
      <c r="CI646" s="106"/>
    </row>
    <row r="647" spans="2:91" s="76" customFormat="1" x14ac:dyDescent="0.2">
      <c r="B647" s="54" t="s">
        <v>340</v>
      </c>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c r="AD647" s="106"/>
      <c r="AE647" s="106"/>
      <c r="AF647" s="106"/>
      <c r="AG647" s="106"/>
      <c r="AH647" s="106"/>
      <c r="AI647" s="106"/>
      <c r="AJ647" s="106"/>
      <c r="AK647" s="106"/>
      <c r="AL647" s="106"/>
      <c r="AM647" s="106"/>
      <c r="AN647" s="106"/>
      <c r="AO647" s="106"/>
      <c r="AP647" s="106"/>
      <c r="AQ647" s="106"/>
      <c r="AR647" s="106"/>
      <c r="AS647" s="106"/>
      <c r="AT647" s="106"/>
      <c r="AU647" s="106"/>
      <c r="AV647" s="106"/>
      <c r="AW647" s="106"/>
      <c r="AX647" s="106"/>
      <c r="AY647" s="106"/>
      <c r="AZ647" s="106"/>
      <c r="BA647" s="106"/>
      <c r="BB647" s="106"/>
      <c r="BC647" s="106"/>
      <c r="BD647" s="106"/>
      <c r="BE647" s="106"/>
      <c r="BF647" s="106"/>
      <c r="BG647" s="106"/>
      <c r="BH647" s="106"/>
      <c r="BI647" s="106"/>
      <c r="BJ647" s="106"/>
      <c r="BK647" s="106"/>
      <c r="BL647" s="106"/>
      <c r="BM647" s="106"/>
      <c r="BN647" s="106"/>
      <c r="BO647" s="106"/>
      <c r="BP647" s="106"/>
      <c r="BQ647" s="106"/>
      <c r="BR647" s="106"/>
      <c r="BS647" s="106"/>
      <c r="BT647" s="106"/>
      <c r="BU647" s="106"/>
      <c r="BV647" s="106"/>
      <c r="BW647" s="106"/>
      <c r="BX647" s="106"/>
      <c r="BY647" s="106"/>
      <c r="BZ647" s="106"/>
      <c r="CA647" s="106"/>
      <c r="CB647" s="106"/>
      <c r="CC647" s="106"/>
      <c r="CD647" s="106"/>
      <c r="CE647" s="106"/>
      <c r="CF647" s="106"/>
      <c r="CG647" s="106"/>
      <c r="CH647" s="106"/>
      <c r="CI647" s="106"/>
    </row>
    <row r="648" spans="2:91" s="76" customFormat="1" x14ac:dyDescent="0.2">
      <c r="B648" t="s">
        <v>337</v>
      </c>
      <c r="C648" s="106"/>
      <c r="D648" s="106"/>
      <c r="E648" s="106"/>
      <c r="F648" s="106"/>
      <c r="G648" s="106"/>
      <c r="H648" s="187"/>
      <c r="I648" s="187"/>
      <c r="J648" s="187"/>
      <c r="K648" s="187"/>
      <c r="L648" s="187">
        <f>+SUMPRODUCT(L624:L629,H640:H645)</f>
        <v>-1.1352606737563527E-2</v>
      </c>
      <c r="M648" s="187">
        <f t="shared" ref="M648:BK648" si="1066">+SUMPRODUCT(M624:M629,I640:I645)</f>
        <v>-3.7873859292503934E-2</v>
      </c>
      <c r="N648" s="187">
        <f t="shared" si="1066"/>
        <v>-3.8934093460520264E-2</v>
      </c>
      <c r="O648" s="187">
        <f t="shared" si="1066"/>
        <v>-1.2896486102565415E-2</v>
      </c>
      <c r="P648" s="187">
        <f t="shared" si="1066"/>
        <v>-1.1599165931764358E-2</v>
      </c>
      <c r="Q648" s="187">
        <f t="shared" si="1066"/>
        <v>-9.9315455128859004E-3</v>
      </c>
      <c r="R648" s="187">
        <f t="shared" si="1066"/>
        <v>-1.3737196693920263E-2</v>
      </c>
      <c r="S648" s="187">
        <f t="shared" si="1066"/>
        <v>-1.1762995463034952E-2</v>
      </c>
      <c r="T648" s="187">
        <f t="shared" si="1066"/>
        <v>-1.1528968980938283E-2</v>
      </c>
      <c r="U648" s="187">
        <f t="shared" si="1066"/>
        <v>6.4418320949506782E-3</v>
      </c>
      <c r="V648" s="187">
        <f t="shared" si="1066"/>
        <v>5.6728672483873747E-3</v>
      </c>
      <c r="W648" s="187">
        <f t="shared" si="1066"/>
        <v>-3.4686954612018532E-2</v>
      </c>
      <c r="X648" s="187">
        <f t="shared" si="1066"/>
        <v>-6.5970734533601763E-2</v>
      </c>
      <c r="Y648" s="187">
        <f t="shared" si="1066"/>
        <v>-8.330349239021051E-2</v>
      </c>
      <c r="Z648" s="187">
        <f t="shared" si="1066"/>
        <v>-8.0196349916066861E-2</v>
      </c>
      <c r="AA648" s="187">
        <f t="shared" si="1066"/>
        <v>-5.9429907483342911E-2</v>
      </c>
      <c r="AB648" s="187">
        <f t="shared" si="1066"/>
        <v>-2.838113276241587E-2</v>
      </c>
      <c r="AC648" s="187">
        <f t="shared" si="1066"/>
        <v>-6.682301709563649E-3</v>
      </c>
      <c r="AD648" s="187">
        <f t="shared" si="1066"/>
        <v>5.4696868235449402E-3</v>
      </c>
      <c r="AE648" s="187">
        <f t="shared" si="1066"/>
        <v>-1.3475886353004479E-3</v>
      </c>
      <c r="AF648" s="187">
        <f t="shared" si="1066"/>
        <v>-3.0548427282095156E-4</v>
      </c>
      <c r="AG648" s="187">
        <f t="shared" si="1066"/>
        <v>-7.6086850982222788E-3</v>
      </c>
      <c r="AH648" s="187">
        <f t="shared" si="1066"/>
        <v>1.0443000365560746E-2</v>
      </c>
      <c r="AI648" s="187">
        <f t="shared" si="1066"/>
        <v>2.2531883938049391E-2</v>
      </c>
      <c r="AJ648" s="187">
        <f t="shared" si="1066"/>
        <v>3.9878148693187565E-2</v>
      </c>
      <c r="AK648" s="187">
        <f t="shared" si="1066"/>
        <v>1.3431420808601595E-2</v>
      </c>
      <c r="AL648" s="187">
        <f t="shared" si="1066"/>
        <v>-2.1451945226352808E-2</v>
      </c>
      <c r="AM648" s="187">
        <f t="shared" si="1066"/>
        <v>-2.348720431336521E-2</v>
      </c>
      <c r="AN648" s="187">
        <f t="shared" si="1066"/>
        <v>-3.7268730248400155E-2</v>
      </c>
      <c r="AO648" s="187">
        <f t="shared" si="1066"/>
        <v>-2.6479281424454933E-2</v>
      </c>
      <c r="AP648" s="187">
        <f t="shared" si="1066"/>
        <v>-1.5170638919778393E-2</v>
      </c>
      <c r="AQ648" s="187">
        <f t="shared" si="1066"/>
        <v>-1.006612461328832E-2</v>
      </c>
      <c r="AR648" s="187">
        <f t="shared" si="1066"/>
        <v>-2.0441093969310799E-2</v>
      </c>
      <c r="AS648" s="187">
        <f t="shared" si="1066"/>
        <v>-2.650698305160221E-2</v>
      </c>
      <c r="AT648" s="187">
        <f t="shared" si="1066"/>
        <v>1.1507249941994195E-3</v>
      </c>
      <c r="AU648" s="187">
        <f t="shared" si="1066"/>
        <v>1.0771192851575325E-2</v>
      </c>
      <c r="AV648" s="187">
        <f t="shared" si="1066"/>
        <v>2.9568167564827986E-2</v>
      </c>
      <c r="AW648" s="187">
        <f t="shared" si="1066"/>
        <v>4.1061951909618172E-2</v>
      </c>
      <c r="AX648" s="187">
        <f t="shared" si="1066"/>
        <v>8.2676374023537853E-3</v>
      </c>
      <c r="AY648" s="187">
        <f t="shared" si="1066"/>
        <v>-1.21952933147354E-2</v>
      </c>
      <c r="AZ648" s="187">
        <f t="shared" si="1066"/>
        <v>-2.347122846430575E-2</v>
      </c>
      <c r="BA648" s="187">
        <f t="shared" si="1066"/>
        <v>-4.0289820876580666E-2</v>
      </c>
      <c r="BB648" s="187">
        <f t="shared" si="1066"/>
        <v>-5.5652003400263592E-2</v>
      </c>
      <c r="BC648" s="187">
        <f t="shared" si="1066"/>
        <v>-4.8323376223376173E-2</v>
      </c>
      <c r="BD648" s="187">
        <f t="shared" si="1066"/>
        <v>-3.043094275674401E-2</v>
      </c>
      <c r="BE648" s="187">
        <f t="shared" si="1066"/>
        <v>-9.9040049334789965E-3</v>
      </c>
      <c r="BF648" s="187">
        <f t="shared" si="1066"/>
        <v>1.1958735915788381E-2</v>
      </c>
      <c r="BG648" s="187">
        <f t="shared" si="1066"/>
        <v>1.151904135118588E-2</v>
      </c>
      <c r="BH648" s="187">
        <f t="shared" si="1066"/>
        <v>-3.4822652834741053E-3</v>
      </c>
      <c r="BI648" s="187">
        <f t="shared" si="1066"/>
        <v>-1.3448799701784444E-2</v>
      </c>
      <c r="BJ648" s="187">
        <f t="shared" si="1066"/>
        <v>-4.0281708630720021E-3</v>
      </c>
      <c r="BK648" s="187">
        <f t="shared" si="1066"/>
        <v>-1.023630824892007E-2</v>
      </c>
      <c r="BL648" s="187">
        <f t="shared" ref="BL648" si="1067">+SUMPRODUCT(BL624:BL629,BH640:BH645)</f>
        <v>-3.1912822760919564E-2</v>
      </c>
      <c r="BM648" s="187">
        <f t="shared" ref="BM648" si="1068">+SUMPRODUCT(BM624:BM629,BI640:BI645)</f>
        <v>-2.4723559273924462E-2</v>
      </c>
      <c r="BN648" s="187">
        <f t="shared" ref="BN648" si="1069">+SUMPRODUCT(BN624:BN629,BJ640:BJ645)</f>
        <v>-3.0703679493317634E-2</v>
      </c>
      <c r="BO648" s="187">
        <f t="shared" ref="BO648" si="1070">+SUMPRODUCT(BO624:BO629,BK640:BK645)</f>
        <v>-1.7528250873447122E-2</v>
      </c>
      <c r="BP648" s="106"/>
      <c r="BQ648" s="106"/>
      <c r="BR648" s="106"/>
      <c r="BS648" s="106"/>
      <c r="BT648" s="106"/>
      <c r="BU648" s="106"/>
      <c r="BV648" s="187">
        <f>+SUMPRODUCT(BV624:BV629,BU640:BU645)</f>
        <v>-2.5497628253043081E-2</v>
      </c>
      <c r="BW648" s="187">
        <f t="shared" ref="BW648:CI648" si="1071">+SUMPRODUCT(BW624:BW629,BV640:BV645)</f>
        <v>-1.1433086318436871E-2</v>
      </c>
      <c r="BX648" s="187">
        <f t="shared" si="1071"/>
        <v>-9.2949027566421732E-3</v>
      </c>
      <c r="BY648" s="187">
        <f t="shared" si="1071"/>
        <v>-7.2310479721650861E-2</v>
      </c>
      <c r="BZ648" s="187">
        <f t="shared" si="1071"/>
        <v>-8.731335292920547E-3</v>
      </c>
      <c r="CA648" s="187">
        <f t="shared" si="1071"/>
        <v>6.0561418103787582E-3</v>
      </c>
      <c r="CB648" s="187">
        <f t="shared" si="1071"/>
        <v>1.3173712546474198E-3</v>
      </c>
      <c r="CC648" s="187">
        <f t="shared" si="1071"/>
        <v>-2.2425098601338532E-2</v>
      </c>
      <c r="CD648" s="187">
        <f t="shared" si="1071"/>
        <v>-8.7036218922884098E-3</v>
      </c>
      <c r="CE648" s="187">
        <f t="shared" si="1071"/>
        <v>1.5610540133423874E-2</v>
      </c>
      <c r="CF648" s="187">
        <f t="shared" si="1071"/>
        <v>-4.1956491369854888E-2</v>
      </c>
      <c r="CG648" s="187">
        <f t="shared" si="1071"/>
        <v>-4.3396542965590326E-3</v>
      </c>
      <c r="CH648" s="187">
        <f t="shared" si="1071"/>
        <v>-7.8461405524464511E-3</v>
      </c>
      <c r="CI648" s="187">
        <f t="shared" si="1071"/>
        <v>-2.6519987726444851E-2</v>
      </c>
    </row>
    <row r="649" spans="2:91" s="76" customFormat="1" ht="13.5" x14ac:dyDescent="0.35">
      <c r="B649" t="s">
        <v>338</v>
      </c>
      <c r="C649" s="106"/>
      <c r="D649" s="106"/>
      <c r="E649" s="106"/>
      <c r="F649" s="106"/>
      <c r="G649" s="106"/>
      <c r="H649" s="106"/>
      <c r="I649" s="106"/>
      <c r="J649" s="106"/>
      <c r="K649" s="106"/>
      <c r="L649" s="188">
        <f>+L650-L648</f>
        <v>-2.6268900005538536E-3</v>
      </c>
      <c r="M649" s="188">
        <f t="shared" ref="M649:BD649" si="1072">+M650-M648</f>
        <v>1.0758000623646027E-2</v>
      </c>
      <c r="N649" s="188">
        <f t="shared" si="1072"/>
        <v>-6.3972693521782698E-4</v>
      </c>
      <c r="O649" s="188">
        <f t="shared" si="1072"/>
        <v>-1.4069964844992938E-3</v>
      </c>
      <c r="P649" s="188">
        <f t="shared" si="1072"/>
        <v>8.8631878195892834E-3</v>
      </c>
      <c r="Q649" s="188">
        <f t="shared" si="1072"/>
        <v>2.812158875426865E-3</v>
      </c>
      <c r="R649" s="188">
        <f t="shared" si="1072"/>
        <v>1.2746116416417654E-2</v>
      </c>
      <c r="S649" s="188">
        <f t="shared" si="1072"/>
        <v>1.0989899212551901E-2</v>
      </c>
      <c r="T649" s="188">
        <f t="shared" si="1072"/>
        <v>7.9447395902572451E-3</v>
      </c>
      <c r="U649" s="188">
        <f t="shared" si="1072"/>
        <v>3.9748345717160625E-3</v>
      </c>
      <c r="V649" s="188">
        <f t="shared" si="1072"/>
        <v>9.2675563030527111E-4</v>
      </c>
      <c r="W649" s="188">
        <f t="shared" si="1072"/>
        <v>8.6373845563786286E-3</v>
      </c>
      <c r="X649" s="188">
        <f t="shared" si="1072"/>
        <v>1.5582098779112499E-2</v>
      </c>
      <c r="Y649" s="188">
        <f t="shared" si="1072"/>
        <v>7.4004288328259893E-3</v>
      </c>
      <c r="Z649" s="188">
        <f t="shared" si="1072"/>
        <v>9.5789639982473418E-3</v>
      </c>
      <c r="AA649" s="188">
        <f t="shared" si="1072"/>
        <v>7.1826253155676117E-3</v>
      </c>
      <c r="AB649" s="188">
        <f t="shared" si="1072"/>
        <v>-7.7936523378707295E-3</v>
      </c>
      <c r="AC649" s="188">
        <f t="shared" si="1072"/>
        <v>6.526949837573532E-3</v>
      </c>
      <c r="AD649" s="188">
        <f t="shared" si="1072"/>
        <v>-9.8718453012502493E-3</v>
      </c>
      <c r="AE649" s="188">
        <f t="shared" si="1072"/>
        <v>-2.7225074641907127E-3</v>
      </c>
      <c r="AF649" s="188">
        <f t="shared" si="1072"/>
        <v>-2.4260776839706323E-3</v>
      </c>
      <c r="AG649" s="188">
        <f t="shared" si="1072"/>
        <v>-7.2930270133820139E-3</v>
      </c>
      <c r="AH649" s="188">
        <f t="shared" si="1072"/>
        <v>2.1060192422825245E-3</v>
      </c>
      <c r="AI649" s="188">
        <f t="shared" si="1072"/>
        <v>3.4904208946643367E-3</v>
      </c>
      <c r="AJ649" s="188">
        <f t="shared" si="1072"/>
        <v>7.0159895395334737E-3</v>
      </c>
      <c r="AK649" s="188">
        <f t="shared" si="1072"/>
        <v>1.5577756357365032E-2</v>
      </c>
      <c r="AL649" s="188">
        <f t="shared" si="1072"/>
        <v>1.0001563546963643E-2</v>
      </c>
      <c r="AM649" s="188">
        <f t="shared" si="1072"/>
        <v>3.2705559903623595E-3</v>
      </c>
      <c r="AN649" s="188">
        <f t="shared" si="1072"/>
        <v>4.9837495038559318E-3</v>
      </c>
      <c r="AO649" s="188">
        <f t="shared" si="1072"/>
        <v>-6.3958617599664848E-3</v>
      </c>
      <c r="AP649" s="188">
        <f t="shared" si="1072"/>
        <v>-1.3762439149197919E-3</v>
      </c>
      <c r="AQ649" s="188">
        <f t="shared" si="1072"/>
        <v>-3.7337537606651466E-3</v>
      </c>
      <c r="AR649" s="188">
        <f t="shared" si="1072"/>
        <v>5.1734945911184674E-3</v>
      </c>
      <c r="AS649" s="188">
        <f t="shared" si="1072"/>
        <v>1.0862229574990449E-2</v>
      </c>
      <c r="AT649" s="188">
        <f t="shared" si="1072"/>
        <v>4.1873532976154544E-3</v>
      </c>
      <c r="AU649" s="188">
        <f t="shared" si="1072"/>
        <v>1.4525117602589826E-3</v>
      </c>
      <c r="AV649" s="188">
        <f t="shared" si="1072"/>
        <v>-1.8438400564832376E-3</v>
      </c>
      <c r="AW649" s="188">
        <f t="shared" si="1072"/>
        <v>-6.1091133262402286E-3</v>
      </c>
      <c r="AX649" s="188">
        <f t="shared" si="1072"/>
        <v>7.4074491478295749E-4</v>
      </c>
      <c r="AY649" s="188">
        <f t="shared" si="1072"/>
        <v>3.1600352065476733E-3</v>
      </c>
      <c r="AZ649" s="188">
        <f t="shared" si="1072"/>
        <v>-7.5346393875049475E-3</v>
      </c>
      <c r="BA649" s="188">
        <f t="shared" si="1072"/>
        <v>-1.6912328046559469E-3</v>
      </c>
      <c r="BB649" s="188">
        <f t="shared" si="1072"/>
        <v>-4.9858978301197815E-3</v>
      </c>
      <c r="BC649" s="188">
        <f t="shared" si="1072"/>
        <v>-1.0546624069218309E-2</v>
      </c>
      <c r="BD649" s="188">
        <f t="shared" si="1072"/>
        <v>2.7333085963287471E-3</v>
      </c>
      <c r="BE649" s="188">
        <f t="shared" ref="BE649:BJ649" si="1073">+BE650-BE648</f>
        <v>1.4139358354713499E-3</v>
      </c>
      <c r="BF649" s="188">
        <f t="shared" si="1073"/>
        <v>7.3552734576257175E-3</v>
      </c>
      <c r="BG649" s="188">
        <f t="shared" si="1073"/>
        <v>9.2469594122699256E-3</v>
      </c>
      <c r="BH649" s="188">
        <f t="shared" si="1073"/>
        <v>6.3984390434124617E-3</v>
      </c>
      <c r="BI649" s="188">
        <f t="shared" si="1073"/>
        <v>4.0425829784945487E-3</v>
      </c>
      <c r="BJ649" s="188">
        <f t="shared" si="1073"/>
        <v>-9.1972199423640526E-3</v>
      </c>
      <c r="BK649" s="189">
        <v>0</v>
      </c>
      <c r="BL649" s="189">
        <v>0</v>
      </c>
      <c r="BM649" s="189">
        <v>0</v>
      </c>
      <c r="BN649" s="189">
        <v>0</v>
      </c>
      <c r="BO649" s="189">
        <v>0</v>
      </c>
      <c r="BP649" s="106"/>
      <c r="BQ649" s="106"/>
      <c r="BR649" s="106"/>
      <c r="BS649" s="106"/>
      <c r="BT649" s="106"/>
      <c r="BU649" s="106"/>
      <c r="BV649" s="188">
        <f t="shared" ref="BV649:CH649" si="1074">+BV650-BV648</f>
        <v>1.8982422208098648E-3</v>
      </c>
      <c r="BW649" s="188">
        <f t="shared" si="1074"/>
        <v>8.7725009896644241E-3</v>
      </c>
      <c r="BX649" s="188">
        <f t="shared" si="1074"/>
        <v>4.4254208375872767E-3</v>
      </c>
      <c r="BY649" s="188">
        <f t="shared" si="1074"/>
        <v>1.0356631152763779E-2</v>
      </c>
      <c r="BZ649" s="188">
        <f t="shared" si="1074"/>
        <v>-9.4330997008643981E-4</v>
      </c>
      <c r="CA649" s="188">
        <f t="shared" si="1074"/>
        <v>1.2284787203578826E-3</v>
      </c>
      <c r="CB649" s="188">
        <f t="shared" si="1074"/>
        <v>5.9160648981025415E-3</v>
      </c>
      <c r="CC649" s="188">
        <f t="shared" si="1074"/>
        <v>-6.3821842599468687E-4</v>
      </c>
      <c r="CD649" s="188">
        <f t="shared" si="1074"/>
        <v>7.321267242814072E-3</v>
      </c>
      <c r="CE649" s="188">
        <f t="shared" si="1074"/>
        <v>-1.5077445121700461E-3</v>
      </c>
      <c r="CF649" s="188">
        <f t="shared" si="1074"/>
        <v>-6.645894283588881E-3</v>
      </c>
      <c r="CG649" s="188">
        <f t="shared" si="1074"/>
        <v>7.1123112898987609E-3</v>
      </c>
      <c r="CH649" s="188">
        <f t="shared" si="1074"/>
        <v>-2.8777462236978524E-5</v>
      </c>
      <c r="CI649" s="188">
        <f t="shared" ref="CI649" si="1075">+CI650-CI648</f>
        <v>7.3484598432652787E-4</v>
      </c>
    </row>
    <row r="650" spans="2:91" s="50" customFormat="1" x14ac:dyDescent="0.2">
      <c r="B650" s="110" t="s">
        <v>339</v>
      </c>
      <c r="C650" s="158"/>
      <c r="D650" s="158"/>
      <c r="E650" s="158"/>
      <c r="F650" s="158"/>
      <c r="G650" s="158"/>
      <c r="H650" s="158"/>
      <c r="I650" s="158"/>
      <c r="J650" s="158"/>
      <c r="K650" s="158"/>
      <c r="L650" s="190">
        <f t="shared" ref="L650:AQ650" si="1076">+(1+L131)/(1+L135)-1</f>
        <v>-1.3979496738117381E-2</v>
      </c>
      <c r="M650" s="190">
        <f t="shared" si="1076"/>
        <v>-2.7115858668857906E-2</v>
      </c>
      <c r="N650" s="190">
        <f t="shared" si="1076"/>
        <v>-3.9573820395738091E-2</v>
      </c>
      <c r="O650" s="190">
        <f t="shared" si="1076"/>
        <v>-1.4303482587064709E-2</v>
      </c>
      <c r="P650" s="190">
        <f t="shared" si="1076"/>
        <v>-2.7359781121750748E-3</v>
      </c>
      <c r="Q650" s="190">
        <f t="shared" si="1076"/>
        <v>-7.1193866374590353E-3</v>
      </c>
      <c r="R650" s="190">
        <f t="shared" si="1076"/>
        <v>-9.9108027750260952E-4</v>
      </c>
      <c r="S650" s="190">
        <f t="shared" si="1076"/>
        <v>-7.7309625048305186E-4</v>
      </c>
      <c r="T650" s="190">
        <f t="shared" si="1076"/>
        <v>-3.5842293906810374E-3</v>
      </c>
      <c r="U650" s="190">
        <f t="shared" si="1076"/>
        <v>1.0416666666666741E-2</v>
      </c>
      <c r="V650" s="190">
        <f t="shared" si="1076"/>
        <v>6.5996228786926459E-3</v>
      </c>
      <c r="W650" s="190">
        <f t="shared" si="1076"/>
        <v>-2.6049570055639903E-2</v>
      </c>
      <c r="X650" s="190">
        <f t="shared" si="1076"/>
        <v>-5.0388635754489264E-2</v>
      </c>
      <c r="Y650" s="190">
        <f t="shared" si="1076"/>
        <v>-7.590306355738452E-2</v>
      </c>
      <c r="Z650" s="190">
        <f t="shared" si="1076"/>
        <v>-7.061738591781952E-2</v>
      </c>
      <c r="AA650" s="190">
        <f t="shared" si="1076"/>
        <v>-5.22472821677753E-2</v>
      </c>
      <c r="AB650" s="190">
        <f t="shared" si="1076"/>
        <v>-3.6174785100286599E-2</v>
      </c>
      <c r="AC650" s="190">
        <f t="shared" si="1076"/>
        <v>-1.5535187199011702E-4</v>
      </c>
      <c r="AD650" s="190">
        <f t="shared" si="1076"/>
        <v>-4.4021584777053091E-3</v>
      </c>
      <c r="AE650" s="190">
        <f t="shared" si="1076"/>
        <v>-4.0700960994911606E-3</v>
      </c>
      <c r="AF650" s="190">
        <f t="shared" si="1076"/>
        <v>-2.7315619567915839E-3</v>
      </c>
      <c r="AG650" s="190">
        <f t="shared" si="1076"/>
        <v>-1.4901712111604293E-2</v>
      </c>
      <c r="AH650" s="190">
        <f t="shared" si="1076"/>
        <v>1.254901960784327E-2</v>
      </c>
      <c r="AI650" s="190">
        <f t="shared" si="1076"/>
        <v>2.6022304832713727E-2</v>
      </c>
      <c r="AJ650" s="190">
        <f t="shared" si="1076"/>
        <v>4.6894138232721039E-2</v>
      </c>
      <c r="AK650" s="190">
        <f t="shared" si="1076"/>
        <v>2.9009177165966626E-2</v>
      </c>
      <c r="AL650" s="190">
        <f t="shared" si="1076"/>
        <v>-1.1450381679389166E-2</v>
      </c>
      <c r="AM650" s="190">
        <f t="shared" si="1076"/>
        <v>-2.021664832300285E-2</v>
      </c>
      <c r="AN650" s="190">
        <f t="shared" si="1076"/>
        <v>-3.2284980744544223E-2</v>
      </c>
      <c r="AO650" s="190">
        <f t="shared" si="1076"/>
        <v>-3.2875143184421418E-2</v>
      </c>
      <c r="AP650" s="190">
        <f t="shared" si="1076"/>
        <v>-1.6546882834698184E-2</v>
      </c>
      <c r="AQ650" s="190">
        <f t="shared" si="1076"/>
        <v>-1.3799878373953467E-2</v>
      </c>
      <c r="AR650" s="190">
        <f t="shared" ref="AR650:BJ650" si="1077">+(1+AR131)/(1+AR135)-1</f>
        <v>-1.5267599378192331E-2</v>
      </c>
      <c r="AS650" s="190">
        <f t="shared" si="1077"/>
        <v>-1.5644753476611761E-2</v>
      </c>
      <c r="AT650" s="190">
        <f t="shared" si="1077"/>
        <v>5.3380782918148739E-3</v>
      </c>
      <c r="AU650" s="190">
        <f t="shared" si="1077"/>
        <v>1.2223704611834307E-2</v>
      </c>
      <c r="AV650" s="190">
        <f t="shared" si="1077"/>
        <v>2.7724327508344748E-2</v>
      </c>
      <c r="AW650" s="190">
        <f t="shared" si="1077"/>
        <v>3.4952838583377943E-2</v>
      </c>
      <c r="AX650" s="190">
        <f t="shared" si="1077"/>
        <v>9.0083823171367428E-3</v>
      </c>
      <c r="AY650" s="190">
        <f t="shared" si="1077"/>
        <v>-9.035258108187727E-3</v>
      </c>
      <c r="AZ650" s="190">
        <f t="shared" si="1077"/>
        <v>-3.1005867851810698E-2</v>
      </c>
      <c r="BA650" s="190">
        <f t="shared" si="1077"/>
        <v>-4.1981053681236613E-2</v>
      </c>
      <c r="BB650" s="190">
        <f t="shared" si="1077"/>
        <v>-6.0637901230383373E-2</v>
      </c>
      <c r="BC650" s="190">
        <f t="shared" si="1077"/>
        <v>-5.8870000292594482E-2</v>
      </c>
      <c r="BD650" s="190">
        <f t="shared" si="1077"/>
        <v>-2.7697634160415263E-2</v>
      </c>
      <c r="BE650" s="190">
        <f t="shared" si="1077"/>
        <v>-8.4900690980076465E-3</v>
      </c>
      <c r="BF650" s="190">
        <f t="shared" si="1077"/>
        <v>1.9314009373414098E-2</v>
      </c>
      <c r="BG650" s="190">
        <f t="shared" si="1077"/>
        <v>2.0766000763455805E-2</v>
      </c>
      <c r="BH650" s="190">
        <f t="shared" si="1077"/>
        <v>2.9161737599383564E-3</v>
      </c>
      <c r="BI650" s="190">
        <f t="shared" si="1077"/>
        <v>-9.4062167232898952E-3</v>
      </c>
      <c r="BJ650" s="190">
        <f t="shared" si="1077"/>
        <v>-1.3225390805436055E-2</v>
      </c>
      <c r="BK650" s="190">
        <f>SUM(BK648:BK649)</f>
        <v>-1.023630824892007E-2</v>
      </c>
      <c r="BL650" s="190">
        <f t="shared" ref="BL650:BO650" si="1078">SUM(BL648:BL649)</f>
        <v>-3.1912822760919564E-2</v>
      </c>
      <c r="BM650" s="190">
        <f t="shared" si="1078"/>
        <v>-2.4723559273924462E-2</v>
      </c>
      <c r="BN650" s="190">
        <f t="shared" si="1078"/>
        <v>-3.0703679493317634E-2</v>
      </c>
      <c r="BO650" s="190">
        <f t="shared" si="1078"/>
        <v>-1.7528250873447122E-2</v>
      </c>
      <c r="BP650" s="158"/>
      <c r="BQ650" s="158"/>
      <c r="BR650" s="158"/>
      <c r="BS650" s="158"/>
      <c r="BT650" s="158"/>
      <c r="BU650" s="158"/>
      <c r="BV650" s="190">
        <f t="shared" ref="BV650:CI650" si="1079">+(1+BV131)/(1+BV135)-1</f>
        <v>-2.3599386032233216E-2</v>
      </c>
      <c r="BW650" s="190">
        <f t="shared" si="1079"/>
        <v>-2.6605853287724468E-3</v>
      </c>
      <c r="BX650" s="190">
        <f t="shared" si="1079"/>
        <v>-4.8694819190548966E-3</v>
      </c>
      <c r="BY650" s="190">
        <f t="shared" si="1079"/>
        <v>-6.1953848568887082E-2</v>
      </c>
      <c r="BZ650" s="190">
        <f t="shared" si="1079"/>
        <v>-9.6746452630069868E-3</v>
      </c>
      <c r="CA650" s="190">
        <f t="shared" si="1079"/>
        <v>7.2846205307366407E-3</v>
      </c>
      <c r="CB650" s="190">
        <f t="shared" si="1079"/>
        <v>7.2334361527499613E-3</v>
      </c>
      <c r="CC650" s="190">
        <f t="shared" si="1079"/>
        <v>-2.3063317027333219E-2</v>
      </c>
      <c r="CD650" s="190">
        <f t="shared" si="1079"/>
        <v>-1.3823546494743377E-3</v>
      </c>
      <c r="CE650" s="190">
        <f t="shared" si="1079"/>
        <v>1.4102795621253827E-2</v>
      </c>
      <c r="CF650" s="190">
        <f t="shared" si="1079"/>
        <v>-4.8602385653443769E-2</v>
      </c>
      <c r="CG650" s="190">
        <f t="shared" si="1079"/>
        <v>2.7726569933397283E-3</v>
      </c>
      <c r="CH650" s="190">
        <f t="shared" si="1079"/>
        <v>-7.8749180146834297E-3</v>
      </c>
      <c r="CI650" s="190">
        <f t="shared" si="1079"/>
        <v>-2.5785141742118323E-2</v>
      </c>
    </row>
    <row r="651" spans="2:91" s="50" customFormat="1" x14ac:dyDescent="0.2">
      <c r="B651" s="110"/>
      <c r="C651" s="158"/>
      <c r="D651" s="158"/>
      <c r="E651" s="158"/>
      <c r="F651" s="158"/>
      <c r="G651" s="158"/>
      <c r="H651" s="158"/>
      <c r="I651" s="158"/>
      <c r="J651" s="158"/>
      <c r="K651" s="158"/>
      <c r="L651" s="190"/>
      <c r="M651" s="190"/>
      <c r="N651" s="190"/>
      <c r="O651" s="190"/>
      <c r="P651" s="190"/>
      <c r="Q651" s="190"/>
      <c r="R651" s="190"/>
      <c r="S651" s="190"/>
      <c r="T651" s="190"/>
      <c r="U651" s="190"/>
      <c r="V651" s="190"/>
      <c r="W651" s="190"/>
      <c r="X651" s="190"/>
      <c r="Y651" s="190"/>
      <c r="Z651" s="190"/>
      <c r="AA651" s="190"/>
      <c r="AB651" s="190"/>
      <c r="AC651" s="190"/>
      <c r="AD651" s="190"/>
      <c r="AE651" s="190"/>
      <c r="AF651" s="190"/>
      <c r="AG651" s="190"/>
      <c r="AH651" s="190"/>
      <c r="AI651" s="190"/>
      <c r="AJ651" s="190"/>
      <c r="AK651" s="190"/>
      <c r="AL651" s="190"/>
      <c r="AM651" s="190"/>
      <c r="AN651" s="190"/>
      <c r="AO651" s="190"/>
      <c r="AP651" s="190"/>
      <c r="AQ651" s="190"/>
      <c r="AR651" s="190"/>
      <c r="AS651" s="190"/>
      <c r="AT651" s="190"/>
      <c r="AU651" s="190"/>
      <c r="AV651" s="190"/>
      <c r="AW651" s="190"/>
      <c r="AX651" s="190"/>
      <c r="AY651" s="190"/>
      <c r="AZ651" s="190"/>
      <c r="BA651" s="190"/>
      <c r="BB651" s="190"/>
      <c r="BC651" s="190"/>
      <c r="BD651" s="190"/>
      <c r="BE651" s="190"/>
      <c r="BF651" s="190"/>
      <c r="BG651" s="190"/>
      <c r="BH651" s="190"/>
      <c r="BI651" s="190"/>
      <c r="BJ651" s="190"/>
      <c r="BK651" s="190"/>
      <c r="BL651" s="190"/>
      <c r="BM651" s="190"/>
      <c r="BN651" s="190"/>
      <c r="BO651" s="190"/>
      <c r="BP651" s="158"/>
      <c r="BQ651" s="158"/>
      <c r="BR651" s="158"/>
      <c r="BS651" s="158"/>
      <c r="BT651" s="158"/>
      <c r="BU651" s="158"/>
      <c r="BV651" s="190"/>
      <c r="BW651" s="190"/>
      <c r="BX651" s="190"/>
      <c r="BY651" s="190"/>
      <c r="BZ651" s="190"/>
      <c r="CA651" s="190"/>
      <c r="CB651" s="190"/>
      <c r="CC651" s="190"/>
      <c r="CD651" s="190"/>
      <c r="CE651" s="190"/>
      <c r="CF651" s="190"/>
      <c r="CG651" s="190"/>
      <c r="CH651" s="190"/>
      <c r="CI651" s="190"/>
    </row>
    <row r="652" spans="2:91" s="50" customFormat="1" x14ac:dyDescent="0.2">
      <c r="B652" s="60" t="s">
        <v>341</v>
      </c>
      <c r="C652" s="158"/>
      <c r="D652" s="158"/>
      <c r="E652" s="158"/>
      <c r="F652" s="158"/>
      <c r="G652" s="158"/>
      <c r="H652" s="120">
        <f>+SUMPRODUCT(H632:H637,G640:G645)</f>
        <v>3.7636449882414583E-3</v>
      </c>
      <c r="I652" s="120">
        <f>+SUMPRODUCT(I632:I637,H640:H645)</f>
        <v>1.7418816130869125E-2</v>
      </c>
      <c r="J652" s="120">
        <f>+SUMPRODUCT(J632:J637,I640:I645)</f>
        <v>-5.2283789686028304E-3</v>
      </c>
      <c r="K652" s="120">
        <f>+SUMPRODUCT(K632:K637,J640:J645)</f>
        <v>-1.983314681553789E-2</v>
      </c>
      <c r="L652" s="120">
        <f t="shared" ref="L652:AM652" si="1080">+SUMPRODUCT(L632:L637,K640:K645)</f>
        <v>-4.0962172198621642E-3</v>
      </c>
      <c r="M652" s="120">
        <f t="shared" si="1080"/>
        <v>-1.2130041197807796E-2</v>
      </c>
      <c r="N652" s="120">
        <f t="shared" si="1080"/>
        <v>-5.0529301267611629E-3</v>
      </c>
      <c r="O652" s="120">
        <f t="shared" si="1080"/>
        <v>6.6430906468151049E-3</v>
      </c>
      <c r="P652" s="120">
        <f t="shared" si="1080"/>
        <v>-2.2739907554535799E-3</v>
      </c>
      <c r="Q652" s="120">
        <f t="shared" si="1080"/>
        <v>-1.1538533009519961E-2</v>
      </c>
      <c r="R652" s="120">
        <f t="shared" si="1080"/>
        <v>-9.845436187179743E-3</v>
      </c>
      <c r="S652" s="120">
        <f t="shared" si="1080"/>
        <v>9.1621420183017731E-3</v>
      </c>
      <c r="T652" s="120">
        <f t="shared" si="1080"/>
        <v>-1.9433318624171166E-3</v>
      </c>
      <c r="U652" s="120">
        <f t="shared" si="1080"/>
        <v>8.7994311455043498E-3</v>
      </c>
      <c r="V652" s="120">
        <f t="shared" si="1080"/>
        <v>-1.0466385973678842E-2</v>
      </c>
      <c r="W652" s="120">
        <f t="shared" si="1080"/>
        <v>-3.1382252781548048E-2</v>
      </c>
      <c r="X652" s="120">
        <f t="shared" si="1080"/>
        <v>-3.4882198378141681E-2</v>
      </c>
      <c r="Y652" s="120">
        <f t="shared" si="1080"/>
        <v>-8.0969491485238399E-3</v>
      </c>
      <c r="Z652" s="120">
        <f t="shared" si="1080"/>
        <v>-1.0891572339172928E-2</v>
      </c>
      <c r="AA652" s="120">
        <f t="shared" si="1080"/>
        <v>-9.1209745988717963E-3</v>
      </c>
      <c r="AB652" s="120">
        <f t="shared" si="1080"/>
        <v>-1.7204287857696776E-3</v>
      </c>
      <c r="AC652" s="120">
        <f t="shared" si="1080"/>
        <v>1.5106728081370733E-2</v>
      </c>
      <c r="AD652" s="120">
        <f t="shared" si="1080"/>
        <v>-4.2851456949486756E-4</v>
      </c>
      <c r="AE652" s="120">
        <f t="shared" si="1080"/>
        <v>-1.4271194090952836E-2</v>
      </c>
      <c r="AF652" s="120">
        <f t="shared" si="1080"/>
        <v>-5.3673167189022611E-4</v>
      </c>
      <c r="AG652" s="120">
        <f t="shared" si="1080"/>
        <v>8.4622571847069866E-3</v>
      </c>
      <c r="AH652" s="120">
        <f t="shared" si="1080"/>
        <v>1.841426859764729E-2</v>
      </c>
      <c r="AI652" s="120">
        <f t="shared" si="1080"/>
        <v>-3.2349831634734235E-3</v>
      </c>
      <c r="AJ652" s="120">
        <f t="shared" si="1080"/>
        <v>1.5226758409508462E-2</v>
      </c>
      <c r="AK652" s="120">
        <f t="shared" si="1080"/>
        <v>-1.6881908207580155E-2</v>
      </c>
      <c r="AL652" s="120">
        <f t="shared" si="1080"/>
        <v>-1.7463885315924996E-2</v>
      </c>
      <c r="AM652" s="120">
        <f t="shared" si="1080"/>
        <v>-5.644363179988468E-3</v>
      </c>
      <c r="AN652" s="120">
        <f>+SUMPRODUCT(AN632:AN637,AM640:AM645)</f>
        <v>1.8666036286003754E-3</v>
      </c>
      <c r="AO652" s="120">
        <f t="shared" ref="AO652:BK652" si="1081">+SUMPRODUCT(AO632:AO637,AN640:AN645)</f>
        <v>-5.4206370497052068E-3</v>
      </c>
      <c r="AP652" s="120">
        <f t="shared" si="1081"/>
        <v>-6.3320507435671242E-3</v>
      </c>
      <c r="AQ652" s="120">
        <f t="shared" si="1081"/>
        <v>-7.8820010042814277E-4</v>
      </c>
      <c r="AR652" s="120">
        <f t="shared" si="1081"/>
        <v>-8.5747868370398342E-3</v>
      </c>
      <c r="AS652" s="120">
        <f t="shared" si="1081"/>
        <v>-1.1735539147563541E-2</v>
      </c>
      <c r="AT652" s="120">
        <f t="shared" si="1081"/>
        <v>2.2689978106996248E-2</v>
      </c>
      <c r="AU652" s="120">
        <f t="shared" si="1081"/>
        <v>8.3539383415681973E-3</v>
      </c>
      <c r="AV652" s="120">
        <f t="shared" si="1081"/>
        <v>8.9641605571487652E-3</v>
      </c>
      <c r="AW652" s="120">
        <f t="shared" si="1081"/>
        <v>-6.5143490525557384E-6</v>
      </c>
      <c r="AX652" s="120">
        <f t="shared" si="1081"/>
        <v>-8.6569974617559733E-3</v>
      </c>
      <c r="AY652" s="120">
        <f t="shared" si="1081"/>
        <v>-1.2881518530672121E-2</v>
      </c>
      <c r="AZ652" s="120">
        <f t="shared" si="1081"/>
        <v>-2.1629891291874551E-3</v>
      </c>
      <c r="BA652" s="120">
        <f t="shared" si="1081"/>
        <v>-1.8147972746268594E-2</v>
      </c>
      <c r="BB652" s="120">
        <f t="shared" si="1081"/>
        <v>-2.5698046011187758E-2</v>
      </c>
      <c r="BC652" s="120">
        <f t="shared" si="1081"/>
        <v>-4.9313183843846739E-3</v>
      </c>
      <c r="BD652" s="120">
        <f t="shared" si="1081"/>
        <v>1.7996795807982503E-2</v>
      </c>
      <c r="BE652" s="120">
        <f t="shared" si="1081"/>
        <v>2.5842946800715507E-3</v>
      </c>
      <c r="BF652" s="120">
        <f t="shared" si="1081"/>
        <v>-3.6122936894537792E-3</v>
      </c>
      <c r="BG652" s="120">
        <f t="shared" si="1081"/>
        <v>-6.0836008295560825E-3</v>
      </c>
      <c r="BH652" s="120">
        <f t="shared" si="1081"/>
        <v>3.530472470972761E-3</v>
      </c>
      <c r="BI652" s="120">
        <f t="shared" si="1081"/>
        <v>-7.8628329069477948E-3</v>
      </c>
      <c r="BJ652" s="120">
        <f t="shared" si="1081"/>
        <v>6.280985807210808E-3</v>
      </c>
      <c r="BK652" s="120">
        <f t="shared" si="1081"/>
        <v>-1.3711082801858147E-2</v>
      </c>
      <c r="BL652" s="120">
        <f t="shared" ref="BL652" si="1082">+SUMPRODUCT(BL632:BL637,BK640:BK645)</f>
        <v>-1.7528250873447122E-2</v>
      </c>
      <c r="BM652" s="120">
        <f t="shared" ref="BM652" si="1083">+SUMPRODUCT(BM632:BM637,BL640:BL645)</f>
        <v>0</v>
      </c>
      <c r="BN652" s="120">
        <f t="shared" ref="BN652" si="1084">+SUMPRODUCT(BN632:BN637,BM640:BM645)</f>
        <v>0</v>
      </c>
      <c r="BO652" s="120">
        <f t="shared" ref="BO652" si="1085">+SUMPRODUCT(BO632:BO637,BN640:BN645)</f>
        <v>0</v>
      </c>
      <c r="BP652" s="158"/>
      <c r="BQ652" s="158"/>
      <c r="BR652" s="158"/>
      <c r="BS652" s="158"/>
      <c r="BT652" s="158"/>
      <c r="BU652" s="158"/>
      <c r="BV652" s="190"/>
      <c r="BW652" s="190"/>
      <c r="BX652" s="190"/>
      <c r="BY652" s="190"/>
      <c r="BZ652" s="190"/>
      <c r="CA652" s="190"/>
      <c r="CB652" s="190"/>
      <c r="CC652" s="190"/>
      <c r="CD652" s="190"/>
      <c r="CE652" s="190"/>
      <c r="CF652" s="190"/>
      <c r="CG652" s="190"/>
      <c r="CH652" s="190"/>
      <c r="CI652" s="190"/>
    </row>
    <row r="653" spans="2:91" s="50" customFormat="1" x14ac:dyDescent="0.2">
      <c r="B653" s="110"/>
      <c r="C653" s="158"/>
      <c r="D653" s="158"/>
      <c r="E653" s="158"/>
      <c r="F653" s="158"/>
      <c r="G653" s="158"/>
      <c r="H653" s="158"/>
      <c r="I653" s="158"/>
      <c r="J653" s="158"/>
      <c r="K653" s="158"/>
      <c r="L653" s="190"/>
      <c r="M653" s="190"/>
      <c r="N653" s="190"/>
      <c r="O653" s="190"/>
      <c r="P653" s="190"/>
      <c r="Q653" s="190"/>
      <c r="R653" s="190"/>
      <c r="S653" s="190"/>
      <c r="T653" s="190"/>
      <c r="U653" s="190"/>
      <c r="V653" s="190"/>
      <c r="W653" s="190"/>
      <c r="X653" s="190"/>
      <c r="Y653" s="190"/>
      <c r="Z653" s="190"/>
      <c r="AA653" s="190"/>
      <c r="AB653" s="190"/>
      <c r="AC653" s="190"/>
      <c r="AD653" s="190"/>
      <c r="AE653" s="190"/>
      <c r="AF653" s="190"/>
      <c r="AG653" s="190"/>
      <c r="AH653" s="190"/>
      <c r="AI653" s="190"/>
      <c r="AJ653" s="190"/>
      <c r="AK653" s="190"/>
      <c r="AL653" s="190"/>
      <c r="AM653" s="190"/>
      <c r="AN653" s="190"/>
      <c r="AO653" s="190"/>
      <c r="AP653" s="190"/>
      <c r="AQ653" s="190"/>
      <c r="AR653" s="190"/>
      <c r="AS653" s="190"/>
      <c r="AT653" s="190"/>
      <c r="AU653" s="190"/>
      <c r="AV653" s="190"/>
      <c r="AW653" s="190"/>
      <c r="AX653" s="190"/>
      <c r="AY653" s="190"/>
      <c r="AZ653" s="190"/>
      <c r="BA653" s="190"/>
      <c r="BB653" s="190"/>
      <c r="BC653" s="190"/>
      <c r="BD653" s="190"/>
      <c r="BE653" s="190"/>
      <c r="BF653" s="190"/>
      <c r="BG653" s="190"/>
      <c r="BH653" s="190"/>
      <c r="BI653" s="190"/>
      <c r="BJ653" s="190"/>
      <c r="BK653" s="190"/>
      <c r="BL653" s="190"/>
      <c r="BM653" s="190"/>
      <c r="BN653" s="190"/>
      <c r="BO653" s="190"/>
      <c r="BP653" s="158"/>
      <c r="BQ653" s="158"/>
      <c r="BR653" s="158"/>
      <c r="BS653" s="158"/>
      <c r="BT653" s="158"/>
      <c r="BU653" s="158"/>
      <c r="BV653" s="190"/>
      <c r="BW653" s="190"/>
      <c r="BX653" s="190"/>
      <c r="BY653" s="190"/>
      <c r="BZ653" s="190"/>
      <c r="CA653" s="190"/>
      <c r="CB653" s="190"/>
      <c r="CC653" s="190"/>
      <c r="CD653" s="190"/>
      <c r="CE653" s="190"/>
      <c r="CF653" s="190"/>
      <c r="CG653" s="190"/>
      <c r="CH653" s="190"/>
      <c r="CI653" s="190"/>
    </row>
    <row r="655" spans="2:91" x14ac:dyDescent="0.2">
      <c r="CJ655" s="68"/>
      <c r="CK655" s="68"/>
      <c r="CL655" s="68"/>
      <c r="CM655" s="68"/>
    </row>
    <row r="656" spans="2:91" x14ac:dyDescent="0.2">
      <c r="CJ656" s="68"/>
      <c r="CK656" s="68"/>
      <c r="CL656" s="68"/>
      <c r="CM656" s="68"/>
    </row>
  </sheetData>
  <phoneticPr fontId="13" type="noConversion"/>
  <pageMargins left="0.3" right="0.3" top="0.3" bottom="0.3" header="0.3" footer="0.3"/>
  <pageSetup scale="35" fitToHeight="0" orientation="landscape" r:id="rId1"/>
  <headerFooter>
    <oddFooter>Page &amp;P of &amp;N</oddFooter>
  </headerFooter>
  <rowBreaks count="7" manualBreakCount="7">
    <brk id="120" min="1" max="86" man="1"/>
    <brk id="191" min="1" max="86" man="1"/>
    <brk id="283" min="1" max="86" man="1"/>
    <brk id="409" min="1" max="86" man="1"/>
    <brk id="468" min="1" max="86" man="1"/>
    <brk id="513" min="1" max="86" man="1"/>
    <brk id="609" min="1" max="86" man="1"/>
  </rowBreak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6ABD-B9A8-466B-B18A-F27574C2DB70}">
  <sheetPr>
    <pageSetUpPr fitToPage="1"/>
  </sheetPr>
  <dimension ref="B2:AN195"/>
  <sheetViews>
    <sheetView view="pageBreakPreview" zoomScaleNormal="85" zoomScaleSheetLayoutView="100" workbookViewId="0">
      <pane xSplit="3" ySplit="6" topLeftCell="D24" activePane="bottomRight" state="frozen"/>
      <selection activeCell="E94" sqref="E94"/>
      <selection pane="topRight" activeCell="E94" sqref="E94"/>
      <selection pane="bottomLeft" activeCell="E94" sqref="E94"/>
      <selection pane="bottomRight" activeCell="AC2" sqref="AC2"/>
    </sheetView>
  </sheetViews>
  <sheetFormatPr defaultRowHeight="11.25" outlineLevelRow="1" outlineLevelCol="1" x14ac:dyDescent="0.2"/>
  <cols>
    <col min="1" max="1" width="2.83203125" customWidth="1"/>
    <col min="2" max="2" width="20.83203125" customWidth="1"/>
    <col min="3" max="3" width="2.83203125" customWidth="1"/>
    <col min="4" max="6" width="9.33203125" hidden="1" customWidth="1" outlineLevel="1"/>
    <col min="7" max="7" width="9.33203125" collapsed="1"/>
  </cols>
  <sheetData>
    <row r="2" spans="2:29" s="44" customFormat="1" x14ac:dyDescent="0.2">
      <c r="B2" s="44" t="s">
        <v>327</v>
      </c>
      <c r="AC2" s="174">
        <f>+'Simple Model - Case 1'!X2</f>
        <v>45657</v>
      </c>
    </row>
    <row r="3" spans="2:29" s="46" customFormat="1" x14ac:dyDescent="0.2">
      <c r="B3" s="46" t="s">
        <v>370</v>
      </c>
    </row>
    <row r="4" spans="2:29" x14ac:dyDescent="0.2">
      <c r="B4" s="76" t="s">
        <v>275</v>
      </c>
    </row>
    <row r="5" spans="2:29" x14ac:dyDescent="0.2">
      <c r="B5" s="76"/>
      <c r="D5" s="162" t="s">
        <v>278</v>
      </c>
      <c r="E5" s="162"/>
      <c r="F5" s="162"/>
      <c r="G5" s="162" t="s">
        <v>278</v>
      </c>
      <c r="H5" s="162"/>
      <c r="I5" s="162"/>
      <c r="J5" s="162"/>
      <c r="K5" s="162"/>
      <c r="L5" s="162"/>
      <c r="M5" s="162"/>
      <c r="N5" s="162"/>
      <c r="O5" s="162"/>
      <c r="P5" s="162"/>
      <c r="Q5" s="162"/>
      <c r="R5" s="162"/>
      <c r="S5" s="162"/>
      <c r="T5" s="162"/>
      <c r="U5" s="162"/>
      <c r="V5" s="162"/>
      <c r="W5" s="162"/>
      <c r="X5" s="162"/>
      <c r="Y5" s="162"/>
      <c r="Z5" s="162"/>
      <c r="AA5" s="162"/>
      <c r="AB5" s="162"/>
      <c r="AC5" s="162"/>
    </row>
    <row r="6" spans="2:29" ht="13.5" x14ac:dyDescent="0.35">
      <c r="D6" s="51" t="s">
        <v>105</v>
      </c>
      <c r="E6" s="51" t="s">
        <v>371</v>
      </c>
      <c r="F6" s="51" t="s">
        <v>106</v>
      </c>
      <c r="G6" s="51" t="s">
        <v>107</v>
      </c>
      <c r="H6" s="51" t="s">
        <v>0</v>
      </c>
      <c r="I6" s="51" t="s">
        <v>1</v>
      </c>
      <c r="J6" s="51" t="s">
        <v>2</v>
      </c>
      <c r="K6" s="51" t="s">
        <v>3</v>
      </c>
      <c r="L6" s="51" t="s">
        <v>4</v>
      </c>
      <c r="M6" s="51" t="s">
        <v>5</v>
      </c>
      <c r="N6" s="51" t="s">
        <v>6</v>
      </c>
      <c r="O6" s="51" t="s">
        <v>321</v>
      </c>
      <c r="P6" s="51" t="s">
        <v>306</v>
      </c>
      <c r="Q6" s="51" t="s">
        <v>357</v>
      </c>
      <c r="R6" s="51" t="s">
        <v>7</v>
      </c>
      <c r="S6" s="51" t="s">
        <v>8</v>
      </c>
      <c r="T6" s="51" t="s">
        <v>9</v>
      </c>
      <c r="U6" s="51" t="s">
        <v>10</v>
      </c>
      <c r="V6" s="51" t="s">
        <v>11</v>
      </c>
      <c r="W6" s="51" t="s">
        <v>12</v>
      </c>
      <c r="X6" s="51" t="s">
        <v>13</v>
      </c>
      <c r="Y6" s="51" t="s">
        <v>14</v>
      </c>
      <c r="Z6" s="51" t="s">
        <v>15</v>
      </c>
      <c r="AA6" s="51" t="s">
        <v>325</v>
      </c>
      <c r="AB6" s="51" t="s">
        <v>346</v>
      </c>
      <c r="AC6" s="51" t="s">
        <v>426</v>
      </c>
    </row>
    <row r="8" spans="2:29" x14ac:dyDescent="0.2">
      <c r="B8" s="52" t="s">
        <v>372</v>
      </c>
      <c r="C8" s="53"/>
    </row>
    <row r="10" spans="2:29" x14ac:dyDescent="0.2">
      <c r="B10" s="54" t="s">
        <v>373</v>
      </c>
    </row>
    <row r="11" spans="2:29" x14ac:dyDescent="0.2">
      <c r="B11" t="s">
        <v>374</v>
      </c>
      <c r="I11" s="205">
        <v>6</v>
      </c>
    </row>
    <row r="12" spans="2:29" x14ac:dyDescent="0.2">
      <c r="B12" s="104" t="s">
        <v>424</v>
      </c>
      <c r="I12" s="205">
        <v>7</v>
      </c>
    </row>
    <row r="13" spans="2:29" x14ac:dyDescent="0.2">
      <c r="B13" s="104" t="s">
        <v>425</v>
      </c>
      <c r="I13" s="205">
        <v>7.5</v>
      </c>
    </row>
    <row r="14" spans="2:29" x14ac:dyDescent="0.2">
      <c r="B14" s="104" t="s">
        <v>423</v>
      </c>
      <c r="I14" s="205">
        <v>8</v>
      </c>
    </row>
    <row r="16" spans="2:29" x14ac:dyDescent="0.2">
      <c r="B16" s="54" t="s">
        <v>375</v>
      </c>
    </row>
    <row r="17" spans="2:34" x14ac:dyDescent="0.2">
      <c r="B17" t="s">
        <v>376</v>
      </c>
      <c r="D17" s="64"/>
      <c r="E17" s="64">
        <f t="shared" ref="E17:Q17" si="0">+E156</f>
        <v>606</v>
      </c>
      <c r="F17" s="64">
        <f t="shared" si="0"/>
        <v>1235</v>
      </c>
      <c r="G17" s="64">
        <f t="shared" si="0"/>
        <v>1362</v>
      </c>
      <c r="H17" s="64">
        <f t="shared" si="0"/>
        <v>1831</v>
      </c>
      <c r="I17" s="64">
        <f t="shared" si="0"/>
        <v>2523</v>
      </c>
      <c r="J17" s="64">
        <f t="shared" si="0"/>
        <v>4491</v>
      </c>
      <c r="K17" s="64">
        <f t="shared" si="0"/>
        <v>6733</v>
      </c>
      <c r="L17" s="64">
        <f t="shared" si="0"/>
        <v>13915</v>
      </c>
      <c r="M17" s="64">
        <f t="shared" si="0"/>
        <v>15102</v>
      </c>
      <c r="N17" s="64">
        <f t="shared" si="0"/>
        <v>15115</v>
      </c>
      <c r="O17" s="64">
        <f t="shared" si="0"/>
        <v>18567</v>
      </c>
      <c r="P17" s="64">
        <f t="shared" si="0"/>
        <v>31431</v>
      </c>
      <c r="Q17" s="64">
        <f t="shared" si="0"/>
        <v>27266</v>
      </c>
      <c r="R17" s="196">
        <f>+'Simple Model - Case 1'!J41</f>
        <v>37974.480794708994</v>
      </c>
      <c r="S17" s="196">
        <f>+'Simple Model - Case 1'!K41</f>
        <v>46014.946295169408</v>
      </c>
      <c r="T17" s="196">
        <f>+'Simple Model - Case 1'!L41</f>
        <v>48162.09381846778</v>
      </c>
      <c r="U17" s="196">
        <f>+'Simple Model - Case 1'!M41</f>
        <v>52323.408449832968</v>
      </c>
      <c r="V17" s="196">
        <f>+'Simple Model - Case 1'!N41</f>
        <v>53823.3450385412</v>
      </c>
      <c r="W17" s="196">
        <f>+'Simple Model - Case 1'!O41</f>
        <v>54606.835733181826</v>
      </c>
      <c r="X17" s="196">
        <f>+'Simple Model - Case 1'!P41</f>
        <v>61325.709607672274</v>
      </c>
      <c r="Y17" s="196">
        <f>+'Simple Model - Case 1'!Q41</f>
        <v>68611.272220171115</v>
      </c>
      <c r="Z17" s="196">
        <f>+'Simple Model - Case 1'!R41</f>
        <v>76471.833436754518</v>
      </c>
      <c r="AA17" s="196">
        <f>+'Simple Model - Case 1'!S41</f>
        <v>84909.586684858295</v>
      </c>
      <c r="AB17" s="196">
        <f>+'Simple Model - Case 1'!T41</f>
        <v>93919.855580806732</v>
      </c>
      <c r="AC17" s="196">
        <f>+'Simple Model - Case 1'!U41</f>
        <v>103490.39661514061</v>
      </c>
    </row>
    <row r="18" spans="2:34" ht="13.5" x14ac:dyDescent="0.35">
      <c r="B18" t="s">
        <v>377</v>
      </c>
      <c r="D18" s="65"/>
      <c r="E18" s="65">
        <f t="shared" ref="E18:Q18" si="1">+E157</f>
        <v>0</v>
      </c>
      <c r="F18" s="65">
        <f t="shared" si="1"/>
        <v>0</v>
      </c>
      <c r="G18" s="65">
        <f t="shared" si="1"/>
        <v>0</v>
      </c>
      <c r="H18" s="65">
        <f t="shared" si="1"/>
        <v>0</v>
      </c>
      <c r="I18" s="65">
        <f t="shared" si="1"/>
        <v>0</v>
      </c>
      <c r="J18" s="65">
        <f t="shared" si="1"/>
        <v>0</v>
      </c>
      <c r="K18" s="65">
        <f t="shared" si="1"/>
        <v>0</v>
      </c>
      <c r="L18" s="65">
        <f t="shared" si="1"/>
        <v>0</v>
      </c>
      <c r="M18" s="65">
        <f t="shared" si="1"/>
        <v>0</v>
      </c>
      <c r="N18" s="65">
        <f t="shared" si="1"/>
        <v>0</v>
      </c>
      <c r="O18" s="65">
        <f t="shared" si="1"/>
        <v>0</v>
      </c>
      <c r="P18" s="65">
        <f t="shared" si="1"/>
        <v>-245</v>
      </c>
      <c r="Q18" s="65">
        <f t="shared" si="1"/>
        <v>-221</v>
      </c>
      <c r="R18" s="71">
        <v>0</v>
      </c>
      <c r="S18" s="71">
        <v>0</v>
      </c>
      <c r="T18" s="71">
        <v>0</v>
      </c>
      <c r="U18" s="71">
        <v>0</v>
      </c>
      <c r="V18" s="71">
        <v>0</v>
      </c>
      <c r="W18" s="71">
        <v>0</v>
      </c>
      <c r="X18" s="71">
        <v>0</v>
      </c>
      <c r="Y18" s="71">
        <v>0</v>
      </c>
      <c r="Z18" s="71">
        <v>0</v>
      </c>
      <c r="AA18" s="71">
        <v>0</v>
      </c>
      <c r="AB18" s="71">
        <v>0</v>
      </c>
      <c r="AC18" s="71">
        <v>0</v>
      </c>
    </row>
    <row r="19" spans="2:34" s="44" customFormat="1" x14ac:dyDescent="0.2">
      <c r="B19" s="110" t="s">
        <v>378</v>
      </c>
      <c r="D19" s="111"/>
      <c r="E19" s="111">
        <f t="shared" ref="E19:Q19" si="2">SUM(E17:E18)</f>
        <v>606</v>
      </c>
      <c r="F19" s="111">
        <f t="shared" si="2"/>
        <v>1235</v>
      </c>
      <c r="G19" s="111">
        <f t="shared" si="2"/>
        <v>1362</v>
      </c>
      <c r="H19" s="111">
        <f t="shared" si="2"/>
        <v>1831</v>
      </c>
      <c r="I19" s="111">
        <f t="shared" si="2"/>
        <v>2523</v>
      </c>
      <c r="J19" s="111">
        <f t="shared" si="2"/>
        <v>4491</v>
      </c>
      <c r="K19" s="111">
        <f t="shared" si="2"/>
        <v>6733</v>
      </c>
      <c r="L19" s="111">
        <f t="shared" si="2"/>
        <v>13915</v>
      </c>
      <c r="M19" s="111">
        <f t="shared" si="2"/>
        <v>15102</v>
      </c>
      <c r="N19" s="111">
        <f t="shared" si="2"/>
        <v>15115</v>
      </c>
      <c r="O19" s="111">
        <f t="shared" si="2"/>
        <v>18567</v>
      </c>
      <c r="P19" s="111">
        <f t="shared" si="2"/>
        <v>31186</v>
      </c>
      <c r="Q19" s="111">
        <f t="shared" si="2"/>
        <v>27045</v>
      </c>
      <c r="R19" s="111">
        <f>SUM(R17:R18)</f>
        <v>37974.480794708994</v>
      </c>
      <c r="S19" s="111">
        <f t="shared" ref="S19:AB19" si="3">SUM(S17:S18)</f>
        <v>46014.946295169408</v>
      </c>
      <c r="T19" s="111">
        <f t="shared" si="3"/>
        <v>48162.09381846778</v>
      </c>
      <c r="U19" s="111">
        <f t="shared" si="3"/>
        <v>52323.408449832968</v>
      </c>
      <c r="V19" s="111">
        <f t="shared" si="3"/>
        <v>53823.3450385412</v>
      </c>
      <c r="W19" s="111">
        <f t="shared" si="3"/>
        <v>54606.835733181826</v>
      </c>
      <c r="X19" s="111">
        <f t="shared" si="3"/>
        <v>61325.709607672274</v>
      </c>
      <c r="Y19" s="111">
        <f t="shared" si="3"/>
        <v>68611.272220171115</v>
      </c>
      <c r="Z19" s="111">
        <f t="shared" si="3"/>
        <v>76471.833436754518</v>
      </c>
      <c r="AA19" s="111">
        <f t="shared" si="3"/>
        <v>84909.586684858295</v>
      </c>
      <c r="AB19" s="111">
        <f t="shared" si="3"/>
        <v>93919.855580806732</v>
      </c>
      <c r="AC19" s="111">
        <f>SUM(AC17:AC18)</f>
        <v>103490.39661514061</v>
      </c>
      <c r="AD19" s="111"/>
    </row>
    <row r="20" spans="2:34" ht="13.5" x14ac:dyDescent="0.35">
      <c r="B20" t="s">
        <v>379</v>
      </c>
      <c r="D20" s="65"/>
      <c r="E20" s="65">
        <f t="shared" ref="E20:Q20" si="4">+E21-E19</f>
        <v>366</v>
      </c>
      <c r="F20" s="65">
        <f t="shared" si="4"/>
        <v>-4</v>
      </c>
      <c r="G20" s="65">
        <f t="shared" si="4"/>
        <v>-426</v>
      </c>
      <c r="H20" s="65">
        <f t="shared" si="4"/>
        <v>-550</v>
      </c>
      <c r="I20" s="65">
        <f t="shared" si="4"/>
        <v>-372</v>
      </c>
      <c r="J20" s="65">
        <f t="shared" si="4"/>
        <v>-1775</v>
      </c>
      <c r="K20" s="65">
        <f t="shared" si="4"/>
        <v>-1301</v>
      </c>
      <c r="L20" s="65">
        <f t="shared" si="4"/>
        <v>-4915</v>
      </c>
      <c r="M20" s="65">
        <f t="shared" si="4"/>
        <v>-3560</v>
      </c>
      <c r="N20" s="65">
        <f t="shared" si="4"/>
        <v>-1239</v>
      </c>
      <c r="O20" s="65">
        <f t="shared" si="4"/>
        <v>-5128</v>
      </c>
      <c r="P20" s="65">
        <f t="shared" si="4"/>
        <v>-14947</v>
      </c>
      <c r="Q20" s="65">
        <f t="shared" si="4"/>
        <v>-1034</v>
      </c>
      <c r="R20" s="71">
        <f>-0.1*R19</f>
        <v>-3797.4480794708998</v>
      </c>
      <c r="S20" s="71">
        <f>-0.15*S19</f>
        <v>-6902.2419442754108</v>
      </c>
      <c r="T20" s="71">
        <f>-0.2*T19</f>
        <v>-9632.4187636935567</v>
      </c>
      <c r="U20" s="71">
        <f t="shared" ref="U20:AC20" si="5">+T20/T19*U19*0.9</f>
        <v>-9418.2135209699354</v>
      </c>
      <c r="V20" s="71">
        <f t="shared" si="5"/>
        <v>-8719.3818962436762</v>
      </c>
      <c r="W20" s="71">
        <f t="shared" si="5"/>
        <v>-7961.6766498979123</v>
      </c>
      <c r="X20" s="71">
        <f t="shared" si="5"/>
        <v>-8047.1596147187583</v>
      </c>
      <c r="Y20" s="71">
        <f t="shared" si="5"/>
        <v>-8102.8540266577702</v>
      </c>
      <c r="Z20" s="71">
        <f t="shared" si="5"/>
        <v>-8128.0535266924535</v>
      </c>
      <c r="AA20" s="71">
        <f t="shared" si="5"/>
        <v>-8122.3984183298016</v>
      </c>
      <c r="AB20" s="71">
        <f t="shared" si="5"/>
        <v>-8085.8836390945617</v>
      </c>
      <c r="AC20" s="71">
        <f t="shared" si="5"/>
        <v>-8018.8600126883439</v>
      </c>
    </row>
    <row r="21" spans="2:34" s="44" customFormat="1" x14ac:dyDescent="0.2">
      <c r="B21" s="110" t="s">
        <v>375</v>
      </c>
      <c r="D21" s="111"/>
      <c r="E21" s="111">
        <f t="shared" ref="E21:P21" si="6">+(E152-E151)-(D152-D151)</f>
        <v>972</v>
      </c>
      <c r="F21" s="111">
        <f t="shared" si="6"/>
        <v>1231</v>
      </c>
      <c r="G21" s="111">
        <f t="shared" si="6"/>
        <v>936</v>
      </c>
      <c r="H21" s="111">
        <f t="shared" si="6"/>
        <v>1281</v>
      </c>
      <c r="I21" s="111">
        <f t="shared" si="6"/>
        <v>2151</v>
      </c>
      <c r="J21" s="111">
        <f t="shared" si="6"/>
        <v>2716</v>
      </c>
      <c r="K21" s="111">
        <f t="shared" si="6"/>
        <v>5432</v>
      </c>
      <c r="L21" s="111">
        <f t="shared" si="6"/>
        <v>9000</v>
      </c>
      <c r="M21" s="111">
        <f t="shared" si="6"/>
        <v>11542</v>
      </c>
      <c r="N21" s="111">
        <f t="shared" si="6"/>
        <v>13876</v>
      </c>
      <c r="O21" s="111">
        <f t="shared" si="6"/>
        <v>13439</v>
      </c>
      <c r="P21" s="111">
        <f t="shared" si="6"/>
        <v>16239</v>
      </c>
      <c r="Q21" s="111">
        <f>+(Q152-Q151)-(P152-P151)</f>
        <v>26011</v>
      </c>
      <c r="R21" s="111">
        <f>+SUM(R19:R20)</f>
        <v>34177.032715238092</v>
      </c>
      <c r="S21" s="111">
        <f t="shared" ref="S21:AB21" si="7">+SUM(S19:S20)</f>
        <v>39112.704350893997</v>
      </c>
      <c r="T21" s="111">
        <f t="shared" si="7"/>
        <v>38529.675054774227</v>
      </c>
      <c r="U21" s="111">
        <f t="shared" si="7"/>
        <v>42905.194928863035</v>
      </c>
      <c r="V21" s="111">
        <f t="shared" si="7"/>
        <v>45103.963142297522</v>
      </c>
      <c r="W21" s="111">
        <f t="shared" si="7"/>
        <v>46645.159083283914</v>
      </c>
      <c r="X21" s="111">
        <f t="shared" si="7"/>
        <v>53278.549992953514</v>
      </c>
      <c r="Y21" s="111">
        <f t="shared" si="7"/>
        <v>60508.418193513346</v>
      </c>
      <c r="Z21" s="111">
        <f t="shared" si="7"/>
        <v>68343.779910062061</v>
      </c>
      <c r="AA21" s="111">
        <f t="shared" si="7"/>
        <v>76787.188266528494</v>
      </c>
      <c r="AB21" s="111">
        <f t="shared" si="7"/>
        <v>85833.971941712167</v>
      </c>
      <c r="AC21" s="111">
        <f>+SUM(AC19:AC20)</f>
        <v>95471.536602452266</v>
      </c>
      <c r="AD21" s="111"/>
    </row>
    <row r="22" spans="2:34" x14ac:dyDescent="0.2">
      <c r="Q22" s="56"/>
    </row>
    <row r="23" spans="2:34" x14ac:dyDescent="0.2">
      <c r="B23" s="54" t="s">
        <v>380</v>
      </c>
    </row>
    <row r="24" spans="2:34" x14ac:dyDescent="0.2">
      <c r="B24" t="s">
        <v>371</v>
      </c>
      <c r="E24" s="64">
        <f>+E62/$I$11</f>
        <v>162</v>
      </c>
      <c r="F24" s="64">
        <f t="shared" ref="F24:N24" si="8">+IF(E116&gt;0,MIN(F62/$I$11,E116),0)</f>
        <v>162</v>
      </c>
      <c r="G24" s="64">
        <f t="shared" si="8"/>
        <v>162</v>
      </c>
      <c r="H24" s="64">
        <f t="shared" si="8"/>
        <v>162</v>
      </c>
      <c r="I24" s="64">
        <f t="shared" si="8"/>
        <v>162</v>
      </c>
      <c r="J24" s="64">
        <f t="shared" si="8"/>
        <v>162</v>
      </c>
      <c r="K24" s="64">
        <f t="shared" si="8"/>
        <v>0</v>
      </c>
      <c r="L24" s="64">
        <f t="shared" si="8"/>
        <v>0</v>
      </c>
      <c r="M24" s="64">
        <f t="shared" si="8"/>
        <v>0</v>
      </c>
      <c r="N24" s="64">
        <f t="shared" si="8"/>
        <v>0</v>
      </c>
      <c r="O24" s="64">
        <f t="shared" ref="O24:O33" si="9">+IF(N116&gt;0,MIN(O62/$I$12,N116),0)</f>
        <v>0</v>
      </c>
      <c r="P24" s="64">
        <f t="shared" ref="P24:P34" si="10">+IF(O116&gt;0,MIN(P62/$I$13,O116),0)</f>
        <v>0</v>
      </c>
      <c r="Q24" s="64">
        <f t="shared" ref="Q24:Q35" si="11">+IF(P116&gt;0,MIN(Q62/$I$14,P116),0)</f>
        <v>0</v>
      </c>
      <c r="R24" s="64">
        <f t="shared" ref="R24:AC24" si="12">+IF(Q116&gt;0,MIN(R62/$I$14,Q116),0)</f>
        <v>0</v>
      </c>
      <c r="S24" s="64">
        <f t="shared" si="12"/>
        <v>0</v>
      </c>
      <c r="T24" s="64">
        <f t="shared" si="12"/>
        <v>0</v>
      </c>
      <c r="U24" s="64">
        <f t="shared" si="12"/>
        <v>0</v>
      </c>
      <c r="V24" s="64">
        <f t="shared" si="12"/>
        <v>0</v>
      </c>
      <c r="W24" s="64">
        <f t="shared" si="12"/>
        <v>0</v>
      </c>
      <c r="X24" s="64">
        <f t="shared" si="12"/>
        <v>0</v>
      </c>
      <c r="Y24" s="64">
        <f t="shared" si="12"/>
        <v>0</v>
      </c>
      <c r="Z24" s="64">
        <f t="shared" si="12"/>
        <v>0</v>
      </c>
      <c r="AA24" s="64">
        <f t="shared" si="12"/>
        <v>0</v>
      </c>
      <c r="AB24" s="64">
        <f t="shared" si="12"/>
        <v>0</v>
      </c>
      <c r="AC24" s="64">
        <f t="shared" si="12"/>
        <v>0</v>
      </c>
    </row>
    <row r="25" spans="2:34" x14ac:dyDescent="0.2">
      <c r="B25" t="s">
        <v>106</v>
      </c>
      <c r="F25" s="64">
        <f>+F63/$I$11</f>
        <v>205.16666666666666</v>
      </c>
      <c r="G25" s="64">
        <f t="shared" ref="G25:N25" si="13">+IF(F117&gt;0,MIN(G63/$I$11,F117),0)</f>
        <v>205.16666666666666</v>
      </c>
      <c r="H25" s="64">
        <f t="shared" si="13"/>
        <v>205.16666666666666</v>
      </c>
      <c r="I25" s="64">
        <f t="shared" si="13"/>
        <v>205.16666666666666</v>
      </c>
      <c r="J25" s="64">
        <f t="shared" si="13"/>
        <v>205.16666666666666</v>
      </c>
      <c r="K25" s="64">
        <f t="shared" si="13"/>
        <v>205.16666666666666</v>
      </c>
      <c r="L25" s="64">
        <f t="shared" si="13"/>
        <v>0</v>
      </c>
      <c r="M25" s="64">
        <f t="shared" si="13"/>
        <v>0</v>
      </c>
      <c r="N25" s="64">
        <f t="shared" si="13"/>
        <v>0</v>
      </c>
      <c r="O25" s="64">
        <f t="shared" si="9"/>
        <v>0</v>
      </c>
      <c r="P25" s="64">
        <f t="shared" si="10"/>
        <v>0</v>
      </c>
      <c r="Q25" s="64">
        <f t="shared" si="11"/>
        <v>0</v>
      </c>
      <c r="R25" s="64">
        <f t="shared" ref="R25:AC25" si="14">+IF(Q117&gt;0,MIN(R63/$I$14,Q117),0)</f>
        <v>0</v>
      </c>
      <c r="S25" s="64">
        <f t="shared" si="14"/>
        <v>0</v>
      </c>
      <c r="T25" s="64">
        <f t="shared" si="14"/>
        <v>0</v>
      </c>
      <c r="U25" s="64">
        <f t="shared" si="14"/>
        <v>0</v>
      </c>
      <c r="V25" s="64">
        <f t="shared" si="14"/>
        <v>0</v>
      </c>
      <c r="W25" s="64">
        <f t="shared" si="14"/>
        <v>0</v>
      </c>
      <c r="X25" s="64">
        <f t="shared" si="14"/>
        <v>0</v>
      </c>
      <c r="Y25" s="64">
        <f t="shared" si="14"/>
        <v>0</v>
      </c>
      <c r="Z25" s="64">
        <f t="shared" si="14"/>
        <v>0</v>
      </c>
      <c r="AA25" s="64">
        <f t="shared" si="14"/>
        <v>0</v>
      </c>
      <c r="AB25" s="64">
        <f t="shared" si="14"/>
        <v>0</v>
      </c>
      <c r="AC25" s="64">
        <f t="shared" si="14"/>
        <v>0</v>
      </c>
    </row>
    <row r="26" spans="2:34" x14ac:dyDescent="0.2">
      <c r="B26" t="s">
        <v>107</v>
      </c>
      <c r="G26" s="64">
        <f>+G64/$I$11</f>
        <v>156</v>
      </c>
      <c r="H26" s="64">
        <f t="shared" ref="H26:N26" si="15">+IF(G118&gt;0,MIN(H64/$I$11,G118),0)</f>
        <v>156</v>
      </c>
      <c r="I26" s="64">
        <f t="shared" si="15"/>
        <v>156</v>
      </c>
      <c r="J26" s="64">
        <f t="shared" si="15"/>
        <v>156</v>
      </c>
      <c r="K26" s="64">
        <f t="shared" si="15"/>
        <v>156</v>
      </c>
      <c r="L26" s="64">
        <f t="shared" si="15"/>
        <v>156</v>
      </c>
      <c r="M26" s="64">
        <f t="shared" si="15"/>
        <v>0</v>
      </c>
      <c r="N26" s="64">
        <f t="shared" si="15"/>
        <v>0</v>
      </c>
      <c r="O26" s="64">
        <f t="shared" si="9"/>
        <v>0</v>
      </c>
      <c r="P26" s="64">
        <f t="shared" si="10"/>
        <v>0</v>
      </c>
      <c r="Q26" s="64">
        <f t="shared" si="11"/>
        <v>0</v>
      </c>
      <c r="R26" s="64">
        <f t="shared" ref="R26:AC26" si="16">+IF(Q118&gt;0,MIN(R64/$I$14,Q118),0)</f>
        <v>0</v>
      </c>
      <c r="S26" s="64">
        <f t="shared" si="16"/>
        <v>0</v>
      </c>
      <c r="T26" s="64">
        <f t="shared" si="16"/>
        <v>0</v>
      </c>
      <c r="U26" s="64">
        <f t="shared" si="16"/>
        <v>0</v>
      </c>
      <c r="V26" s="64">
        <f t="shared" si="16"/>
        <v>0</v>
      </c>
      <c r="W26" s="64">
        <f t="shared" si="16"/>
        <v>0</v>
      </c>
      <c r="X26" s="64">
        <f t="shared" si="16"/>
        <v>0</v>
      </c>
      <c r="Y26" s="64">
        <f t="shared" si="16"/>
        <v>0</v>
      </c>
      <c r="Z26" s="64">
        <f t="shared" si="16"/>
        <v>0</v>
      </c>
      <c r="AA26" s="64">
        <f t="shared" si="16"/>
        <v>0</v>
      </c>
      <c r="AB26" s="64">
        <f t="shared" si="16"/>
        <v>0</v>
      </c>
      <c r="AC26" s="64">
        <f t="shared" si="16"/>
        <v>0</v>
      </c>
    </row>
    <row r="27" spans="2:34" x14ac:dyDescent="0.2">
      <c r="B27" t="s">
        <v>0</v>
      </c>
      <c r="H27" s="64">
        <f>+H65/$I$11</f>
        <v>213.5</v>
      </c>
      <c r="I27" s="64">
        <f t="shared" ref="I27:N27" si="17">+IF(H119&gt;0,MIN(I65/$I$11,H119),0)</f>
        <v>213.5</v>
      </c>
      <c r="J27" s="64">
        <f t="shared" si="17"/>
        <v>213.5</v>
      </c>
      <c r="K27" s="64">
        <f t="shared" si="17"/>
        <v>213.5</v>
      </c>
      <c r="L27" s="64">
        <f t="shared" si="17"/>
        <v>213.5</v>
      </c>
      <c r="M27" s="64">
        <f t="shared" si="17"/>
        <v>213.5</v>
      </c>
      <c r="N27" s="64">
        <f t="shared" si="17"/>
        <v>0</v>
      </c>
      <c r="O27" s="64">
        <f t="shared" si="9"/>
        <v>0</v>
      </c>
      <c r="P27" s="64">
        <f t="shared" si="10"/>
        <v>0</v>
      </c>
      <c r="Q27" s="64">
        <f t="shared" si="11"/>
        <v>0</v>
      </c>
      <c r="R27" s="64">
        <f t="shared" ref="R27:AC27" si="18">+IF(Q119&gt;0,MIN(R65/$I$14,Q119),0)</f>
        <v>0</v>
      </c>
      <c r="S27" s="64">
        <f t="shared" si="18"/>
        <v>0</v>
      </c>
      <c r="T27" s="64">
        <f t="shared" si="18"/>
        <v>0</v>
      </c>
      <c r="U27" s="64">
        <f t="shared" si="18"/>
        <v>0</v>
      </c>
      <c r="V27" s="64">
        <f t="shared" si="18"/>
        <v>0</v>
      </c>
      <c r="W27" s="64">
        <f t="shared" si="18"/>
        <v>0</v>
      </c>
      <c r="X27" s="64">
        <f t="shared" si="18"/>
        <v>0</v>
      </c>
      <c r="Y27" s="64">
        <f t="shared" si="18"/>
        <v>0</v>
      </c>
      <c r="Z27" s="64">
        <f t="shared" si="18"/>
        <v>0</v>
      </c>
      <c r="AA27" s="64">
        <f t="shared" si="18"/>
        <v>0</v>
      </c>
      <c r="AB27" s="64">
        <f t="shared" si="18"/>
        <v>0</v>
      </c>
      <c r="AC27" s="64">
        <f t="shared" si="18"/>
        <v>0</v>
      </c>
    </row>
    <row r="28" spans="2:34" x14ac:dyDescent="0.2">
      <c r="B28" t="s">
        <v>1</v>
      </c>
      <c r="I28" s="64">
        <f>+I66/$I$11</f>
        <v>358.5</v>
      </c>
      <c r="J28" s="64">
        <f>+IF(I120&gt;0,MIN(J66/$I$11,I120),0)</f>
        <v>358.5</v>
      </c>
      <c r="K28" s="64">
        <f>+IF(J120&gt;0,MIN(K66/$I$11,J120),0)</f>
        <v>358.5</v>
      </c>
      <c r="L28" s="64">
        <f>+IF(K120&gt;0,MIN(L66/$I$11,K120),0)</f>
        <v>358.5</v>
      </c>
      <c r="M28" s="64">
        <f>+IF(L120&gt;0,MIN(M66/$I$11,L120),0)</f>
        <v>358.5</v>
      </c>
      <c r="N28" s="64">
        <f>+IF(M120&gt;0,MIN(N66/$I$11,M120),0)</f>
        <v>358.5</v>
      </c>
      <c r="O28" s="64">
        <f t="shared" si="9"/>
        <v>0</v>
      </c>
      <c r="P28" s="64">
        <f t="shared" si="10"/>
        <v>0</v>
      </c>
      <c r="Q28" s="64">
        <f t="shared" si="11"/>
        <v>0</v>
      </c>
      <c r="R28" s="64">
        <f t="shared" ref="R28:AC28" si="19">+IF(Q120&gt;0,MIN(R66/$I$14,Q120),0)</f>
        <v>0</v>
      </c>
      <c r="S28" s="64">
        <f t="shared" si="19"/>
        <v>0</v>
      </c>
      <c r="T28" s="64">
        <f t="shared" si="19"/>
        <v>0</v>
      </c>
      <c r="U28" s="64">
        <f t="shared" si="19"/>
        <v>0</v>
      </c>
      <c r="V28" s="64">
        <f t="shared" si="19"/>
        <v>0</v>
      </c>
      <c r="W28" s="64">
        <f t="shared" si="19"/>
        <v>0</v>
      </c>
      <c r="X28" s="64">
        <f t="shared" si="19"/>
        <v>0</v>
      </c>
      <c r="Y28" s="64">
        <f t="shared" si="19"/>
        <v>0</v>
      </c>
      <c r="Z28" s="64">
        <f t="shared" si="19"/>
        <v>0</v>
      </c>
      <c r="AA28" s="64">
        <f t="shared" si="19"/>
        <v>0</v>
      </c>
      <c r="AB28" s="64">
        <f t="shared" si="19"/>
        <v>0</v>
      </c>
      <c r="AC28" s="64">
        <f t="shared" si="19"/>
        <v>0</v>
      </c>
      <c r="AD28" s="64"/>
    </row>
    <row r="29" spans="2:34" x14ac:dyDescent="0.2">
      <c r="B29" t="s">
        <v>2</v>
      </c>
      <c r="J29" s="64">
        <f>+J67/$I$11</f>
        <v>452.66666666666669</v>
      </c>
      <c r="K29" s="64">
        <f>+IF(J121&gt;0,MIN(K67/$I$11,J121),0)</f>
        <v>452.66666666666669</v>
      </c>
      <c r="L29" s="64">
        <f>+IF(K121&gt;0,MIN(L67/$I$11,K121),0)</f>
        <v>452.66666666666669</v>
      </c>
      <c r="M29" s="64">
        <f>+IF(L121&gt;0,MIN(M67/$I$11,L121),0)</f>
        <v>452.66666666666669</v>
      </c>
      <c r="N29" s="64">
        <f>+IF(M121&gt;0,MIN(N67/$I$11,M121),0)</f>
        <v>452.66666666666669</v>
      </c>
      <c r="O29" s="64">
        <f t="shared" si="9"/>
        <v>388</v>
      </c>
      <c r="P29" s="64">
        <f t="shared" si="10"/>
        <v>64.666666666666515</v>
      </c>
      <c r="Q29" s="64">
        <f t="shared" si="11"/>
        <v>0</v>
      </c>
      <c r="R29" s="64">
        <f t="shared" ref="R29:AC29" si="20">+IF(Q121&gt;0,MIN(R67/$I$14,Q121),0)</f>
        <v>0</v>
      </c>
      <c r="S29" s="64">
        <f t="shared" si="20"/>
        <v>0</v>
      </c>
      <c r="T29" s="64">
        <f t="shared" si="20"/>
        <v>0</v>
      </c>
      <c r="U29" s="64">
        <f t="shared" si="20"/>
        <v>0</v>
      </c>
      <c r="V29" s="64">
        <f t="shared" si="20"/>
        <v>0</v>
      </c>
      <c r="W29" s="64">
        <f t="shared" si="20"/>
        <v>0</v>
      </c>
      <c r="X29" s="64">
        <f t="shared" si="20"/>
        <v>0</v>
      </c>
      <c r="Y29" s="64">
        <f t="shared" si="20"/>
        <v>0</v>
      </c>
      <c r="Z29" s="64">
        <f t="shared" si="20"/>
        <v>0</v>
      </c>
      <c r="AA29" s="64">
        <f t="shared" si="20"/>
        <v>0</v>
      </c>
      <c r="AB29" s="64">
        <f t="shared" si="20"/>
        <v>0</v>
      </c>
      <c r="AC29" s="64">
        <f t="shared" si="20"/>
        <v>0</v>
      </c>
      <c r="AD29" s="64"/>
      <c r="AE29" s="64"/>
    </row>
    <row r="30" spans="2:34" x14ac:dyDescent="0.2">
      <c r="B30" t="s">
        <v>3</v>
      </c>
      <c r="K30" s="64">
        <f>+K68/$I$11</f>
        <v>905.33333333333337</v>
      </c>
      <c r="L30" s="64">
        <f>+IF(K122&gt;0,MIN(L68/$I$11,K122),0)</f>
        <v>905.33333333333337</v>
      </c>
      <c r="M30" s="64">
        <f>+IF(L122&gt;0,MIN(M68/$I$11,L122),0)</f>
        <v>905.33333333333337</v>
      </c>
      <c r="N30" s="64">
        <f>+IF(M122&gt;0,MIN(N68/$I$11,M122),0)</f>
        <v>905.33333333333337</v>
      </c>
      <c r="O30" s="64">
        <f t="shared" si="9"/>
        <v>776</v>
      </c>
      <c r="P30" s="64">
        <f t="shared" si="10"/>
        <v>724.26666666666665</v>
      </c>
      <c r="Q30" s="64">
        <f t="shared" si="11"/>
        <v>310.39999999999964</v>
      </c>
      <c r="R30" s="64">
        <f t="shared" ref="R30:AC30" si="21">+IF(Q122&gt;0,MIN(R68/$I$14,Q122),0)</f>
        <v>0</v>
      </c>
      <c r="S30" s="64">
        <f t="shared" si="21"/>
        <v>0</v>
      </c>
      <c r="T30" s="64">
        <f t="shared" si="21"/>
        <v>0</v>
      </c>
      <c r="U30" s="64">
        <f t="shared" si="21"/>
        <v>0</v>
      </c>
      <c r="V30" s="64">
        <f t="shared" si="21"/>
        <v>0</v>
      </c>
      <c r="W30" s="64">
        <f t="shared" si="21"/>
        <v>0</v>
      </c>
      <c r="X30" s="64">
        <f t="shared" si="21"/>
        <v>0</v>
      </c>
      <c r="Y30" s="64">
        <f t="shared" si="21"/>
        <v>0</v>
      </c>
      <c r="Z30" s="64">
        <f t="shared" si="21"/>
        <v>0</v>
      </c>
      <c r="AA30" s="64">
        <f t="shared" si="21"/>
        <v>0</v>
      </c>
      <c r="AB30" s="64">
        <f t="shared" si="21"/>
        <v>0</v>
      </c>
      <c r="AC30" s="64">
        <f t="shared" si="21"/>
        <v>0</v>
      </c>
      <c r="AD30" s="64"/>
      <c r="AE30" s="64"/>
      <c r="AF30" s="64"/>
    </row>
    <row r="31" spans="2:34" x14ac:dyDescent="0.2">
      <c r="B31" t="s">
        <v>4</v>
      </c>
      <c r="L31" s="64">
        <f>+L69/$I$11</f>
        <v>1500</v>
      </c>
      <c r="M31" s="64">
        <f>+IF(L123&gt;0,MIN(M69/$I$11,L123),0)</f>
        <v>1500</v>
      </c>
      <c r="N31" s="64">
        <f>+IF(M123&gt;0,MIN(N69/$I$11,M123),0)</f>
        <v>1500</v>
      </c>
      <c r="O31" s="64">
        <f t="shared" si="9"/>
        <v>1285.7142857142858</v>
      </c>
      <c r="P31" s="64">
        <f t="shared" si="10"/>
        <v>1200</v>
      </c>
      <c r="Q31" s="64">
        <f t="shared" si="11"/>
        <v>1125</v>
      </c>
      <c r="R31" s="64">
        <f t="shared" ref="R31:AC31" si="22">+IF(Q123&gt;0,MIN(R69/$I$14,Q123),0)</f>
        <v>889.28571428571377</v>
      </c>
      <c r="S31" s="64">
        <f t="shared" si="22"/>
        <v>0</v>
      </c>
      <c r="T31" s="64">
        <f t="shared" si="22"/>
        <v>0</v>
      </c>
      <c r="U31" s="64">
        <f t="shared" si="22"/>
        <v>0</v>
      </c>
      <c r="V31" s="64">
        <f t="shared" si="22"/>
        <v>0</v>
      </c>
      <c r="W31" s="64">
        <f t="shared" si="22"/>
        <v>0</v>
      </c>
      <c r="X31" s="64">
        <f t="shared" si="22"/>
        <v>0</v>
      </c>
      <c r="Y31" s="64">
        <f t="shared" si="22"/>
        <v>0</v>
      </c>
      <c r="Z31" s="64">
        <f t="shared" si="22"/>
        <v>0</v>
      </c>
      <c r="AA31" s="64">
        <f t="shared" si="22"/>
        <v>0</v>
      </c>
      <c r="AB31" s="64">
        <f t="shared" si="22"/>
        <v>0</v>
      </c>
      <c r="AC31" s="64">
        <f t="shared" si="22"/>
        <v>0</v>
      </c>
      <c r="AD31" s="64"/>
      <c r="AE31" s="64"/>
      <c r="AF31" s="64"/>
      <c r="AG31" s="64"/>
    </row>
    <row r="32" spans="2:34" x14ac:dyDescent="0.2">
      <c r="B32" t="s">
        <v>5</v>
      </c>
      <c r="M32" s="64">
        <f>+M70/$I$11</f>
        <v>1923.6666666666667</v>
      </c>
      <c r="N32" s="64">
        <f>+IF(M124&gt;0,MIN(N70/$I$11,M124),0)</f>
        <v>1923.6666666666667</v>
      </c>
      <c r="O32" s="64">
        <f t="shared" si="9"/>
        <v>1648.8571428571429</v>
      </c>
      <c r="P32" s="64">
        <f t="shared" si="10"/>
        <v>1538.9333333333334</v>
      </c>
      <c r="Q32" s="64">
        <f t="shared" si="11"/>
        <v>1442.75</v>
      </c>
      <c r="R32" s="64">
        <f t="shared" ref="R32:AC32" si="23">+IF(Q124&gt;0,MIN(R70/$I$14,Q124),0)</f>
        <v>1442.75</v>
      </c>
      <c r="S32" s="64">
        <f t="shared" si="23"/>
        <v>1442.75</v>
      </c>
      <c r="T32" s="64">
        <f t="shared" si="23"/>
        <v>178.62619047619046</v>
      </c>
      <c r="U32" s="64">
        <f t="shared" si="23"/>
        <v>0</v>
      </c>
      <c r="V32" s="64">
        <f t="shared" si="23"/>
        <v>0</v>
      </c>
      <c r="W32" s="64">
        <f t="shared" si="23"/>
        <v>0</v>
      </c>
      <c r="X32" s="64">
        <f t="shared" si="23"/>
        <v>0</v>
      </c>
      <c r="Y32" s="64">
        <f t="shared" si="23"/>
        <v>0</v>
      </c>
      <c r="Z32" s="64">
        <f t="shared" si="23"/>
        <v>0</v>
      </c>
      <c r="AA32" s="64">
        <f t="shared" si="23"/>
        <v>0</v>
      </c>
      <c r="AB32" s="64">
        <f t="shared" si="23"/>
        <v>0</v>
      </c>
      <c r="AC32" s="64">
        <f t="shared" si="23"/>
        <v>0</v>
      </c>
      <c r="AD32" s="64"/>
      <c r="AE32" s="64"/>
      <c r="AF32" s="64"/>
      <c r="AG32" s="64"/>
      <c r="AH32" s="64"/>
    </row>
    <row r="33" spans="2:40" x14ac:dyDescent="0.2">
      <c r="B33" t="s">
        <v>6</v>
      </c>
      <c r="N33" s="64">
        <f>+N71/$I$11</f>
        <v>2312.6666666666665</v>
      </c>
      <c r="O33" s="64">
        <f t="shared" si="9"/>
        <v>1982.2857142857142</v>
      </c>
      <c r="P33" s="64">
        <f t="shared" si="10"/>
        <v>1850.1333333333334</v>
      </c>
      <c r="Q33" s="64">
        <f t="shared" si="11"/>
        <v>1734.5</v>
      </c>
      <c r="R33" s="64">
        <f t="shared" ref="R33:AC33" si="24">+IF(Q125&gt;0,MIN(R71/$I$14,Q125),0)</f>
        <v>1734.5</v>
      </c>
      <c r="S33" s="64">
        <f t="shared" si="24"/>
        <v>1734.5</v>
      </c>
      <c r="T33" s="64">
        <f t="shared" si="24"/>
        <v>1734.5</v>
      </c>
      <c r="U33" s="64">
        <f t="shared" si="24"/>
        <v>792.91428571428696</v>
      </c>
      <c r="V33" s="64">
        <f t="shared" si="24"/>
        <v>0</v>
      </c>
      <c r="W33" s="64">
        <f t="shared" si="24"/>
        <v>0</v>
      </c>
      <c r="X33" s="64">
        <f t="shared" si="24"/>
        <v>0</v>
      </c>
      <c r="Y33" s="64">
        <f t="shared" si="24"/>
        <v>0</v>
      </c>
      <c r="Z33" s="64">
        <f t="shared" si="24"/>
        <v>0</v>
      </c>
      <c r="AA33" s="64">
        <f t="shared" si="24"/>
        <v>0</v>
      </c>
      <c r="AB33" s="64">
        <f t="shared" si="24"/>
        <v>0</v>
      </c>
      <c r="AC33" s="64">
        <f t="shared" si="24"/>
        <v>0</v>
      </c>
      <c r="AD33" s="64"/>
      <c r="AE33" s="64"/>
      <c r="AF33" s="64"/>
      <c r="AG33" s="64"/>
      <c r="AH33" s="64"/>
      <c r="AI33" s="64"/>
    </row>
    <row r="34" spans="2:40" x14ac:dyDescent="0.2">
      <c r="B34" t="s">
        <v>321</v>
      </c>
      <c r="O34" s="64">
        <f>+O72/$I$12</f>
        <v>1919.8571428571429</v>
      </c>
      <c r="P34" s="64">
        <f t="shared" si="10"/>
        <v>1791.8666666666666</v>
      </c>
      <c r="Q34" s="64">
        <f t="shared" si="11"/>
        <v>1679.875</v>
      </c>
      <c r="R34" s="64">
        <f t="shared" ref="R34:AC34" si="25">+IF(Q126&gt;0,MIN(R72/$I$14,Q126),0)</f>
        <v>1679.875</v>
      </c>
      <c r="S34" s="64">
        <f t="shared" si="25"/>
        <v>1679.875</v>
      </c>
      <c r="T34" s="64">
        <f t="shared" si="25"/>
        <v>1679.875</v>
      </c>
      <c r="U34" s="64">
        <f t="shared" si="25"/>
        <v>1679.875</v>
      </c>
      <c r="V34" s="64">
        <f t="shared" si="25"/>
        <v>1327.9011904761901</v>
      </c>
      <c r="W34" s="64">
        <f t="shared" si="25"/>
        <v>0</v>
      </c>
      <c r="X34" s="64">
        <f t="shared" si="25"/>
        <v>0</v>
      </c>
      <c r="Y34" s="64">
        <f t="shared" si="25"/>
        <v>0</v>
      </c>
      <c r="Z34" s="64">
        <f t="shared" si="25"/>
        <v>0</v>
      </c>
      <c r="AA34" s="64">
        <f t="shared" si="25"/>
        <v>0</v>
      </c>
      <c r="AB34" s="64">
        <f t="shared" si="25"/>
        <v>0</v>
      </c>
      <c r="AC34" s="64">
        <f t="shared" si="25"/>
        <v>0</v>
      </c>
      <c r="AD34" s="64"/>
      <c r="AE34" s="64"/>
      <c r="AF34" s="64"/>
      <c r="AG34" s="64"/>
      <c r="AH34" s="64"/>
      <c r="AI34" s="64"/>
      <c r="AJ34" s="64"/>
    </row>
    <row r="35" spans="2:40" x14ac:dyDescent="0.2">
      <c r="B35" t="s">
        <v>306</v>
      </c>
      <c r="P35" s="64">
        <f>+P73/$I$13</f>
        <v>2165.1999999999998</v>
      </c>
      <c r="Q35" s="64">
        <f t="shared" si="11"/>
        <v>2029.875</v>
      </c>
      <c r="R35" s="64">
        <f t="shared" ref="R35:AC35" si="26">+IF(Q127&gt;0,MIN(R73/$I$14,Q127),0)</f>
        <v>2029.875</v>
      </c>
      <c r="S35" s="64">
        <f t="shared" si="26"/>
        <v>2029.875</v>
      </c>
      <c r="T35" s="64">
        <f t="shared" si="26"/>
        <v>2029.875</v>
      </c>
      <c r="U35" s="64">
        <f t="shared" si="26"/>
        <v>2029.875</v>
      </c>
      <c r="V35" s="64">
        <f t="shared" si="26"/>
        <v>2029.875</v>
      </c>
      <c r="W35" s="64">
        <f t="shared" si="26"/>
        <v>1894.5499999999993</v>
      </c>
      <c r="X35" s="64">
        <f t="shared" si="26"/>
        <v>0</v>
      </c>
      <c r="Y35" s="64">
        <f t="shared" si="26"/>
        <v>0</v>
      </c>
      <c r="Z35" s="64">
        <f t="shared" si="26"/>
        <v>0</v>
      </c>
      <c r="AA35" s="64">
        <f t="shared" si="26"/>
        <v>0</v>
      </c>
      <c r="AB35" s="64">
        <f t="shared" si="26"/>
        <v>0</v>
      </c>
      <c r="AC35" s="64">
        <f t="shared" si="26"/>
        <v>0</v>
      </c>
      <c r="AD35" s="64"/>
      <c r="AE35" s="64"/>
      <c r="AF35" s="64"/>
      <c r="AG35" s="64"/>
      <c r="AH35" s="64"/>
      <c r="AI35" s="64"/>
      <c r="AJ35" s="64"/>
      <c r="AK35" s="64"/>
    </row>
    <row r="36" spans="2:40" x14ac:dyDescent="0.2">
      <c r="B36" t="s">
        <v>357</v>
      </c>
      <c r="Q36" s="64">
        <f>+Q74/$I$14</f>
        <v>3251.375</v>
      </c>
      <c r="R36" s="64">
        <f t="shared" ref="R36:AC36" si="27">+IF(Q128&gt;0,MIN(R74/$I$14,Q128),0)</f>
        <v>3251.375</v>
      </c>
      <c r="S36" s="64">
        <f t="shared" si="27"/>
        <v>3251.375</v>
      </c>
      <c r="T36" s="64">
        <f t="shared" si="27"/>
        <v>3251.375</v>
      </c>
      <c r="U36" s="64">
        <f t="shared" si="27"/>
        <v>3251.375</v>
      </c>
      <c r="V36" s="64">
        <f t="shared" si="27"/>
        <v>3251.375</v>
      </c>
      <c r="W36" s="64">
        <f t="shared" si="27"/>
        <v>3251.375</v>
      </c>
      <c r="X36" s="64">
        <f t="shared" si="27"/>
        <v>3251.375</v>
      </c>
      <c r="Y36" s="64">
        <f t="shared" si="27"/>
        <v>0</v>
      </c>
      <c r="Z36" s="64">
        <f t="shared" si="27"/>
        <v>0</v>
      </c>
      <c r="AA36" s="64">
        <f t="shared" si="27"/>
        <v>0</v>
      </c>
      <c r="AB36" s="64">
        <f t="shared" si="27"/>
        <v>0</v>
      </c>
      <c r="AC36" s="64">
        <f t="shared" si="27"/>
        <v>0</v>
      </c>
      <c r="AD36" s="64"/>
      <c r="AE36" s="64"/>
      <c r="AF36" s="64"/>
      <c r="AG36" s="64"/>
      <c r="AH36" s="64"/>
      <c r="AI36" s="64"/>
      <c r="AJ36" s="64"/>
      <c r="AK36" s="64"/>
      <c r="AL36" s="64"/>
    </row>
    <row r="37" spans="2:40" x14ac:dyDescent="0.2">
      <c r="B37" t="s">
        <v>7</v>
      </c>
      <c r="R37" s="64">
        <f>+R75/$I$14</f>
        <v>4272.1290894047615</v>
      </c>
      <c r="S37" s="64">
        <f t="shared" ref="S37:AC37" si="28">+IF(R129&gt;0,MIN(S75/$I$14,R129),0)</f>
        <v>4272.1290894047615</v>
      </c>
      <c r="T37" s="64">
        <f t="shared" si="28"/>
        <v>4272.1290894047615</v>
      </c>
      <c r="U37" s="64">
        <f t="shared" si="28"/>
        <v>4272.1290894047615</v>
      </c>
      <c r="V37" s="64">
        <f t="shared" si="28"/>
        <v>4272.1290894047615</v>
      </c>
      <c r="W37" s="64">
        <f t="shared" si="28"/>
        <v>4272.1290894047615</v>
      </c>
      <c r="X37" s="64">
        <f t="shared" si="28"/>
        <v>4272.1290894047615</v>
      </c>
      <c r="Y37" s="64">
        <f t="shared" si="28"/>
        <v>4272.1290894047561</v>
      </c>
      <c r="Z37" s="64">
        <f t="shared" si="28"/>
        <v>0</v>
      </c>
      <c r="AA37" s="64">
        <f t="shared" si="28"/>
        <v>0</v>
      </c>
      <c r="AB37" s="64">
        <f t="shared" si="28"/>
        <v>0</v>
      </c>
      <c r="AC37" s="64">
        <f t="shared" si="28"/>
        <v>0</v>
      </c>
      <c r="AD37" s="64"/>
      <c r="AE37" s="64"/>
      <c r="AF37" s="64"/>
      <c r="AG37" s="64"/>
      <c r="AH37" s="64"/>
      <c r="AI37" s="64"/>
      <c r="AJ37" s="64"/>
      <c r="AK37" s="64"/>
      <c r="AL37" s="64"/>
      <c r="AM37" s="64"/>
    </row>
    <row r="38" spans="2:40" x14ac:dyDescent="0.2">
      <c r="B38" t="s">
        <v>8</v>
      </c>
      <c r="S38" s="64">
        <f>+S76/$I$14</f>
        <v>4889.0880438617496</v>
      </c>
      <c r="T38" s="64">
        <f t="shared" ref="T38:AC38" si="29">+IF(S130&gt;0,MIN(T76/$I$14,S130),0)</f>
        <v>4889.0880438617496</v>
      </c>
      <c r="U38" s="64">
        <f t="shared" si="29"/>
        <v>4889.0880438617496</v>
      </c>
      <c r="V38" s="64">
        <f t="shared" si="29"/>
        <v>4889.0880438617496</v>
      </c>
      <c r="W38" s="64">
        <f t="shared" si="29"/>
        <v>4889.0880438617496</v>
      </c>
      <c r="X38" s="64">
        <f t="shared" si="29"/>
        <v>4889.0880438617496</v>
      </c>
      <c r="Y38" s="64">
        <f t="shared" si="29"/>
        <v>4889.0880438617496</v>
      </c>
      <c r="Z38" s="64">
        <f t="shared" si="29"/>
        <v>4889.088043861746</v>
      </c>
      <c r="AA38" s="64">
        <f t="shared" si="29"/>
        <v>0</v>
      </c>
      <c r="AB38" s="64">
        <f t="shared" si="29"/>
        <v>0</v>
      </c>
      <c r="AC38" s="64">
        <f t="shared" si="29"/>
        <v>0</v>
      </c>
      <c r="AD38" s="64"/>
      <c r="AE38" s="64"/>
      <c r="AF38" s="64"/>
      <c r="AG38" s="64"/>
      <c r="AH38" s="64"/>
      <c r="AI38" s="64"/>
      <c r="AJ38" s="64"/>
      <c r="AK38" s="64"/>
      <c r="AL38" s="64"/>
      <c r="AM38" s="64"/>
      <c r="AN38" s="64"/>
    </row>
    <row r="39" spans="2:40" x14ac:dyDescent="0.2">
      <c r="B39" t="s">
        <v>9</v>
      </c>
      <c r="S39" s="64"/>
      <c r="T39" s="64">
        <f>+T77/$I$14</f>
        <v>4816.2093818467783</v>
      </c>
      <c r="U39" s="64">
        <f t="shared" ref="U39:AC39" si="30">+IF(T131&gt;0,MIN(U77/$I$14,T131),0)</f>
        <v>4816.2093818467783</v>
      </c>
      <c r="V39" s="64">
        <f t="shared" si="30"/>
        <v>4816.2093818467783</v>
      </c>
      <c r="W39" s="64">
        <f t="shared" si="30"/>
        <v>4816.2093818467783</v>
      </c>
      <c r="X39" s="64">
        <f t="shared" si="30"/>
        <v>4816.2093818467783</v>
      </c>
      <c r="Y39" s="64">
        <f t="shared" si="30"/>
        <v>4816.2093818467783</v>
      </c>
      <c r="Z39" s="64">
        <f t="shared" si="30"/>
        <v>4816.2093818467783</v>
      </c>
      <c r="AA39" s="64">
        <f t="shared" si="30"/>
        <v>4816.2093818467783</v>
      </c>
      <c r="AB39" s="64">
        <f t="shared" si="30"/>
        <v>0</v>
      </c>
      <c r="AC39" s="64">
        <f t="shared" si="30"/>
        <v>0</v>
      </c>
      <c r="AD39" s="64"/>
      <c r="AE39" s="64"/>
      <c r="AF39" s="64"/>
      <c r="AG39" s="64"/>
      <c r="AH39" s="64"/>
      <c r="AI39" s="64"/>
      <c r="AJ39" s="64"/>
      <c r="AK39" s="64"/>
      <c r="AL39" s="64"/>
      <c r="AM39" s="64"/>
      <c r="AN39" s="64"/>
    </row>
    <row r="40" spans="2:40" x14ac:dyDescent="0.2">
      <c r="B40" t="s">
        <v>10</v>
      </c>
      <c r="S40" s="64"/>
      <c r="T40" s="64"/>
      <c r="U40" s="64">
        <f>+U78/$I$14</f>
        <v>5363.1493661078794</v>
      </c>
      <c r="V40" s="64">
        <f t="shared" ref="V40:AC40" si="31">+IF(U132&gt;0,MIN(V78/$I$14,U132),0)</f>
        <v>5363.1493661078794</v>
      </c>
      <c r="W40" s="64">
        <f t="shared" si="31"/>
        <v>5363.1493661078794</v>
      </c>
      <c r="X40" s="64">
        <f t="shared" si="31"/>
        <v>5363.1493661078794</v>
      </c>
      <c r="Y40" s="64">
        <f t="shared" si="31"/>
        <v>5363.1493661078794</v>
      </c>
      <c r="Z40" s="64">
        <f t="shared" si="31"/>
        <v>5363.1493661078794</v>
      </c>
      <c r="AA40" s="64">
        <f t="shared" si="31"/>
        <v>5363.1493661078794</v>
      </c>
      <c r="AB40" s="64">
        <f t="shared" si="31"/>
        <v>5363.1493661078784</v>
      </c>
      <c r="AC40" s="64">
        <f t="shared" si="31"/>
        <v>0</v>
      </c>
      <c r="AD40" s="64"/>
      <c r="AE40" s="64"/>
      <c r="AF40" s="64"/>
      <c r="AG40" s="64"/>
      <c r="AH40" s="64"/>
      <c r="AI40" s="64"/>
      <c r="AJ40" s="64"/>
      <c r="AK40" s="64"/>
      <c r="AL40" s="64"/>
      <c r="AM40" s="64"/>
      <c r="AN40" s="64"/>
    </row>
    <row r="41" spans="2:40" x14ac:dyDescent="0.2">
      <c r="B41" t="s">
        <v>11</v>
      </c>
      <c r="S41" s="64"/>
      <c r="T41" s="64"/>
      <c r="U41" s="64"/>
      <c r="V41" s="64">
        <f>+V79/$I$14</f>
        <v>5637.9953927871902</v>
      </c>
      <c r="W41" s="64">
        <f t="shared" ref="W41:AC41" si="32">+IF(V133&gt;0,MIN(W79/$I$14,V133),0)</f>
        <v>5637.9953927871902</v>
      </c>
      <c r="X41" s="64">
        <f t="shared" si="32"/>
        <v>5637.9953927871902</v>
      </c>
      <c r="Y41" s="64">
        <f t="shared" si="32"/>
        <v>5637.9953927871902</v>
      </c>
      <c r="Z41" s="64">
        <f t="shared" si="32"/>
        <v>5637.9953927871902</v>
      </c>
      <c r="AA41" s="64">
        <f t="shared" si="32"/>
        <v>5637.9953927871902</v>
      </c>
      <c r="AB41" s="64">
        <f t="shared" si="32"/>
        <v>5637.9953927871902</v>
      </c>
      <c r="AC41" s="64">
        <f t="shared" si="32"/>
        <v>5637.9953927871902</v>
      </c>
      <c r="AD41" s="64"/>
      <c r="AE41" s="64"/>
      <c r="AF41" s="64"/>
      <c r="AG41" s="64"/>
      <c r="AH41" s="64"/>
      <c r="AI41" s="64"/>
      <c r="AJ41" s="64"/>
      <c r="AK41" s="64"/>
      <c r="AL41" s="64"/>
      <c r="AM41" s="64"/>
      <c r="AN41" s="64"/>
    </row>
    <row r="42" spans="2:40" x14ac:dyDescent="0.2">
      <c r="B42" t="s">
        <v>12</v>
      </c>
      <c r="S42" s="64"/>
      <c r="T42" s="64"/>
      <c r="U42" s="64"/>
      <c r="V42" s="64"/>
      <c r="W42" s="64">
        <f>+W80/$I$14</f>
        <v>5830.6448854104892</v>
      </c>
      <c r="X42" s="64">
        <f t="shared" ref="X42:AC42" si="33">+IF(W134&gt;0,MIN(X80/$I$14,W134),0)</f>
        <v>5830.6448854104892</v>
      </c>
      <c r="Y42" s="64">
        <f t="shared" si="33"/>
        <v>5830.6448854104892</v>
      </c>
      <c r="Z42" s="64">
        <f t="shared" si="33"/>
        <v>5830.6448854104892</v>
      </c>
      <c r="AA42" s="64">
        <f t="shared" si="33"/>
        <v>5830.6448854104892</v>
      </c>
      <c r="AB42" s="64">
        <f t="shared" si="33"/>
        <v>5830.6448854104892</v>
      </c>
      <c r="AC42" s="64">
        <f t="shared" si="33"/>
        <v>5830.6448854104892</v>
      </c>
      <c r="AD42" s="64"/>
      <c r="AE42" s="64"/>
      <c r="AF42" s="64"/>
      <c r="AG42" s="64"/>
      <c r="AH42" s="64"/>
      <c r="AI42" s="64"/>
      <c r="AJ42" s="64"/>
      <c r="AK42" s="64"/>
      <c r="AL42" s="64"/>
      <c r="AM42" s="64"/>
      <c r="AN42" s="64"/>
    </row>
    <row r="43" spans="2:40" x14ac:dyDescent="0.2">
      <c r="B43" t="s">
        <v>13</v>
      </c>
      <c r="S43" s="64"/>
      <c r="T43" s="64"/>
      <c r="U43" s="64"/>
      <c r="V43" s="64"/>
      <c r="W43" s="64"/>
      <c r="X43" s="64">
        <f>+X81/$I$14</f>
        <v>6659.8187491191893</v>
      </c>
      <c r="Y43" s="64">
        <f>+IF(X135&gt;0,MIN(Y81/$I$14,X135),0)</f>
        <v>6659.8187491191893</v>
      </c>
      <c r="Z43" s="64">
        <f>+IF(Y135&gt;0,MIN(Z81/$I$14,Y135),0)</f>
        <v>6659.8187491191893</v>
      </c>
      <c r="AA43" s="64">
        <f>+IF(Z135&gt;0,MIN(AA81/$I$14,Z135),0)</f>
        <v>6659.8187491191893</v>
      </c>
      <c r="AB43" s="64">
        <f>+IF(AA135&gt;0,MIN(AB81/$I$14,AA135),0)</f>
        <v>6659.8187491191893</v>
      </c>
      <c r="AC43" s="64">
        <f>+IF(AB135&gt;0,MIN(AC81/$I$14,AB135),0)</f>
        <v>6659.8187491191893</v>
      </c>
      <c r="AD43" s="64"/>
      <c r="AE43" s="64"/>
      <c r="AF43" s="64"/>
      <c r="AG43" s="64"/>
      <c r="AH43" s="64"/>
      <c r="AI43" s="64"/>
      <c r="AJ43" s="64"/>
      <c r="AK43" s="64"/>
      <c r="AL43" s="64"/>
      <c r="AM43" s="64"/>
      <c r="AN43" s="64"/>
    </row>
    <row r="44" spans="2:40" x14ac:dyDescent="0.2">
      <c r="B44" t="s">
        <v>14</v>
      </c>
      <c r="S44" s="64"/>
      <c r="T44" s="64"/>
      <c r="U44" s="64"/>
      <c r="V44" s="64"/>
      <c r="W44" s="64"/>
      <c r="X44" s="64"/>
      <c r="Y44" s="64">
        <f>+Y82/$I$14</f>
        <v>7563.5522741891682</v>
      </c>
      <c r="Z44" s="64">
        <f>+IF(Y136&gt;0,MIN(Z82/$I$14,Y136),0)</f>
        <v>7563.5522741891682</v>
      </c>
      <c r="AA44" s="64">
        <f>+IF(Z136&gt;0,MIN(AA82/$I$14,Z136),0)</f>
        <v>7563.5522741891682</v>
      </c>
      <c r="AB44" s="64">
        <f>+IF(AA136&gt;0,MIN(AB82/$I$14,AA136),0)</f>
        <v>7563.5522741891682</v>
      </c>
      <c r="AC44" s="64">
        <f>+IF(AB136&gt;0,MIN(AC82/$I$14,AB136),0)</f>
        <v>7563.5522741891682</v>
      </c>
      <c r="AD44" s="64"/>
      <c r="AE44" s="64"/>
      <c r="AF44" s="64"/>
      <c r="AG44" s="64"/>
      <c r="AH44" s="64"/>
      <c r="AI44" s="64"/>
      <c r="AJ44" s="64"/>
      <c r="AK44" s="64"/>
      <c r="AL44" s="64"/>
      <c r="AM44" s="64"/>
      <c r="AN44" s="64"/>
    </row>
    <row r="45" spans="2:40" x14ac:dyDescent="0.2">
      <c r="B45" t="s">
        <v>15</v>
      </c>
      <c r="S45" s="64"/>
      <c r="T45" s="64"/>
      <c r="U45" s="64"/>
      <c r="V45" s="64"/>
      <c r="W45" s="64"/>
      <c r="X45" s="64"/>
      <c r="Y45" s="64"/>
      <c r="Z45" s="64">
        <f>+Z83/$I$14</f>
        <v>8542.9724887577577</v>
      </c>
      <c r="AA45" s="64">
        <f>+IF(Z137&gt;0,MIN(AA83/$I$14,Z137),0)</f>
        <v>8542.9724887577577</v>
      </c>
      <c r="AB45" s="64">
        <f>+IF(AA137&gt;0,MIN(AB83/$I$14,AA137),0)</f>
        <v>8542.9724887577577</v>
      </c>
      <c r="AC45" s="64">
        <f>+IF(AB137&gt;0,MIN(AC83/$I$14,AB137),0)</f>
        <v>8542.9724887577577</v>
      </c>
      <c r="AD45" s="64"/>
      <c r="AE45" s="64"/>
      <c r="AF45" s="64"/>
      <c r="AG45" s="64"/>
      <c r="AH45" s="64"/>
      <c r="AI45" s="64"/>
      <c r="AJ45" s="64"/>
      <c r="AK45" s="64"/>
      <c r="AL45" s="64"/>
      <c r="AM45" s="64"/>
      <c r="AN45" s="64"/>
    </row>
    <row r="46" spans="2:40" x14ac:dyDescent="0.2">
      <c r="B46" t="s">
        <v>325</v>
      </c>
      <c r="S46" s="64"/>
      <c r="T46" s="64"/>
      <c r="U46" s="64"/>
      <c r="V46" s="64"/>
      <c r="W46" s="64"/>
      <c r="X46" s="64"/>
      <c r="Y46" s="64"/>
      <c r="Z46" s="64"/>
      <c r="AA46" s="64">
        <f>+AA84/$I$14</f>
        <v>9598.3985333160617</v>
      </c>
      <c r="AB46" s="64">
        <f>+IF(AA138&gt;0,MIN(AB84/$I$14,AA138),0)</f>
        <v>9598.3985333160617</v>
      </c>
      <c r="AC46" s="64">
        <f>+IF(AB138&gt;0,MIN(AC84/$I$14,AB138),0)</f>
        <v>9598.3985333160617</v>
      </c>
      <c r="AD46" s="64"/>
      <c r="AE46" s="64"/>
      <c r="AF46" s="64"/>
      <c r="AG46" s="64"/>
      <c r="AH46" s="64"/>
      <c r="AI46" s="64"/>
      <c r="AJ46" s="64"/>
      <c r="AK46" s="64"/>
      <c r="AL46" s="64"/>
      <c r="AM46" s="64"/>
      <c r="AN46" s="64"/>
    </row>
    <row r="47" spans="2:40" x14ac:dyDescent="0.2">
      <c r="B47" t="s">
        <v>346</v>
      </c>
      <c r="S47" s="64"/>
      <c r="T47" s="64"/>
      <c r="U47" s="64"/>
      <c r="V47" s="64"/>
      <c r="W47" s="64"/>
      <c r="X47" s="64"/>
      <c r="Y47" s="64"/>
      <c r="Z47" s="64"/>
      <c r="AA47" s="64"/>
      <c r="AB47" s="64">
        <f>+AB85/$I$14</f>
        <v>10729.246492714021</v>
      </c>
      <c r="AC47" s="64">
        <f>+AC85/$I$14</f>
        <v>10729.246492714021</v>
      </c>
      <c r="AD47" s="64"/>
      <c r="AE47" s="64"/>
      <c r="AF47" s="64"/>
      <c r="AG47" s="64"/>
      <c r="AH47" s="64"/>
      <c r="AI47" s="64"/>
      <c r="AJ47" s="64"/>
      <c r="AK47" s="64"/>
      <c r="AL47" s="64"/>
      <c r="AM47" s="64"/>
      <c r="AN47" s="64"/>
    </row>
    <row r="48" spans="2:40" x14ac:dyDescent="0.2">
      <c r="B48" t="s">
        <v>426</v>
      </c>
      <c r="S48" s="64"/>
      <c r="T48" s="64"/>
      <c r="U48" s="64"/>
      <c r="V48" s="64"/>
      <c r="W48" s="64"/>
      <c r="X48" s="64"/>
      <c r="Y48" s="64"/>
      <c r="Z48" s="64"/>
      <c r="AA48" s="64"/>
      <c r="AB48" s="64"/>
      <c r="AC48" s="64">
        <f>+AC86/$I$14</f>
        <v>11933.942075306533</v>
      </c>
      <c r="AD48" s="64"/>
      <c r="AE48" s="64"/>
      <c r="AF48" s="64"/>
      <c r="AG48" s="64"/>
      <c r="AH48" s="64"/>
      <c r="AI48" s="64"/>
      <c r="AJ48" s="64"/>
      <c r="AK48" s="64"/>
      <c r="AL48" s="64"/>
      <c r="AM48" s="64"/>
      <c r="AN48" s="64"/>
    </row>
    <row r="49" spans="2:40" s="44" customFormat="1" x14ac:dyDescent="0.2">
      <c r="B49" s="110" t="s">
        <v>381</v>
      </c>
      <c r="D49" s="111"/>
      <c r="E49" s="111">
        <f>+SUM(E24:E47)</f>
        <v>162</v>
      </c>
      <c r="F49" s="111">
        <f>+SUM(F24:F47)</f>
        <v>367.16666666666663</v>
      </c>
      <c r="G49" s="111">
        <f>+SUM(G24:G48)</f>
        <v>523.16666666666663</v>
      </c>
      <c r="H49" s="111">
        <f t="shared" ref="H49:AC49" si="34">+SUM(H24:H48)</f>
        <v>736.66666666666663</v>
      </c>
      <c r="I49" s="111">
        <f t="shared" si="34"/>
        <v>1095.1666666666665</v>
      </c>
      <c r="J49" s="111">
        <f t="shared" si="34"/>
        <v>1547.8333333333333</v>
      </c>
      <c r="K49" s="111">
        <f t="shared" si="34"/>
        <v>2291.1666666666665</v>
      </c>
      <c r="L49" s="111">
        <f t="shared" si="34"/>
        <v>3586</v>
      </c>
      <c r="M49" s="111">
        <f t="shared" si="34"/>
        <v>5353.666666666667</v>
      </c>
      <c r="N49" s="111">
        <f t="shared" si="34"/>
        <v>7452.8333333333339</v>
      </c>
      <c r="O49" s="111">
        <f t="shared" si="34"/>
        <v>8000.7142857142862</v>
      </c>
      <c r="P49" s="111">
        <f t="shared" si="34"/>
        <v>9335.0666666666657</v>
      </c>
      <c r="Q49" s="111">
        <f t="shared" si="34"/>
        <v>11573.775</v>
      </c>
      <c r="R49" s="111">
        <f t="shared" si="34"/>
        <v>15299.789803690475</v>
      </c>
      <c r="S49" s="111">
        <f t="shared" si="34"/>
        <v>19299.592133266509</v>
      </c>
      <c r="T49" s="111">
        <f t="shared" si="34"/>
        <v>22851.677705589478</v>
      </c>
      <c r="U49" s="111">
        <f t="shared" si="34"/>
        <v>27094.615166935451</v>
      </c>
      <c r="V49" s="111">
        <f t="shared" si="34"/>
        <v>31587.722464484548</v>
      </c>
      <c r="W49" s="111">
        <f t="shared" si="34"/>
        <v>35955.141159418847</v>
      </c>
      <c r="X49" s="111">
        <f t="shared" si="34"/>
        <v>40720.409908538044</v>
      </c>
      <c r="Y49" s="111">
        <f t="shared" si="34"/>
        <v>45032.587182727199</v>
      </c>
      <c r="Z49" s="111">
        <f t="shared" si="34"/>
        <v>49303.430582080196</v>
      </c>
      <c r="AA49" s="111">
        <f t="shared" si="34"/>
        <v>54012.74107153451</v>
      </c>
      <c r="AB49" s="111">
        <f t="shared" si="34"/>
        <v>59925.778182401758</v>
      </c>
      <c r="AC49" s="111">
        <f t="shared" si="34"/>
        <v>66496.570891600408</v>
      </c>
      <c r="AD49" s="111"/>
      <c r="AE49" s="111"/>
      <c r="AF49" s="111"/>
      <c r="AG49" s="111"/>
      <c r="AH49" s="111"/>
      <c r="AI49" s="111"/>
      <c r="AJ49" s="111"/>
      <c r="AK49" s="111"/>
      <c r="AL49" s="111"/>
      <c r="AM49" s="111"/>
      <c r="AN49" s="111"/>
    </row>
    <row r="50" spans="2:40" s="44" customFormat="1" x14ac:dyDescent="0.2">
      <c r="B50" s="110"/>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row>
    <row r="51" spans="2:40" s="44" customFormat="1" x14ac:dyDescent="0.2">
      <c r="B51" s="62" t="s">
        <v>19</v>
      </c>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row>
    <row r="52" spans="2:40" s="44" customFormat="1" x14ac:dyDescent="0.2">
      <c r="B52" s="60" t="s">
        <v>382</v>
      </c>
      <c r="D52" s="95"/>
      <c r="E52" s="95">
        <f t="shared" ref="E52:Q52" si="35">+E165</f>
        <v>323</v>
      </c>
      <c r="F52" s="95">
        <f t="shared" si="35"/>
        <v>649</v>
      </c>
      <c r="G52" s="95">
        <f t="shared" si="35"/>
        <v>866</v>
      </c>
      <c r="H52" s="95">
        <f t="shared" si="35"/>
        <v>924</v>
      </c>
      <c r="I52" s="95">
        <f t="shared" si="35"/>
        <v>1215</v>
      </c>
      <c r="J52" s="95">
        <f t="shared" si="35"/>
        <v>1591</v>
      </c>
      <c r="K52" s="95">
        <f t="shared" si="35"/>
        <v>2333</v>
      </c>
      <c r="L52" s="95">
        <f t="shared" si="35"/>
        <v>3675</v>
      </c>
      <c r="M52" s="95">
        <f t="shared" si="35"/>
        <v>5179</v>
      </c>
      <c r="N52" s="95">
        <f t="shared" si="35"/>
        <v>6389</v>
      </c>
      <c r="O52" s="95">
        <f t="shared" si="35"/>
        <v>7560</v>
      </c>
      <c r="P52" s="95">
        <f t="shared" si="35"/>
        <v>8501</v>
      </c>
      <c r="Q52" s="95">
        <f t="shared" si="35"/>
        <v>11017</v>
      </c>
      <c r="R52" s="95"/>
      <c r="S52" s="95"/>
      <c r="T52" s="111"/>
      <c r="U52" s="111"/>
      <c r="V52" s="111"/>
      <c r="W52" s="111"/>
      <c r="X52" s="111"/>
      <c r="Y52" s="111"/>
      <c r="Z52" s="111"/>
      <c r="AA52" s="111"/>
      <c r="AB52" s="111"/>
      <c r="AC52" s="111"/>
      <c r="AD52" s="111"/>
      <c r="AE52" s="111"/>
      <c r="AF52" s="111"/>
      <c r="AG52" s="111"/>
      <c r="AH52" s="111"/>
      <c r="AI52" s="111"/>
      <c r="AJ52" s="111"/>
      <c r="AK52" s="111"/>
      <c r="AL52" s="111"/>
      <c r="AM52" s="111"/>
      <c r="AN52" s="111"/>
    </row>
    <row r="53" spans="2:40" s="44" customFormat="1" x14ac:dyDescent="0.2">
      <c r="B53" s="101" t="s">
        <v>383</v>
      </c>
      <c r="D53" s="106"/>
      <c r="E53" s="106">
        <f t="shared" ref="E53:Q53" si="36">+E52/E49-1</f>
        <v>0.99382716049382713</v>
      </c>
      <c r="F53" s="106">
        <f t="shared" si="36"/>
        <v>0.76758965047662286</v>
      </c>
      <c r="G53" s="106">
        <f t="shared" si="36"/>
        <v>0.65530423701815876</v>
      </c>
      <c r="H53" s="106">
        <f t="shared" si="36"/>
        <v>0.25429864253393664</v>
      </c>
      <c r="I53" s="106">
        <f t="shared" si="36"/>
        <v>0.10942017957692918</v>
      </c>
      <c r="J53" s="106">
        <f t="shared" si="36"/>
        <v>2.7888446215139417E-2</v>
      </c>
      <c r="K53" s="106">
        <f t="shared" si="36"/>
        <v>1.8258529133629242E-2</v>
      </c>
      <c r="L53" s="106">
        <f t="shared" si="36"/>
        <v>2.4818739542666002E-2</v>
      </c>
      <c r="M53" s="106">
        <f t="shared" si="36"/>
        <v>-3.2625614843409534E-2</v>
      </c>
      <c r="N53" s="106">
        <f t="shared" si="36"/>
        <v>-0.14274213386407864</v>
      </c>
      <c r="O53" s="106">
        <f t="shared" si="36"/>
        <v>-5.5084367467190476E-2</v>
      </c>
      <c r="P53" s="106">
        <f t="shared" si="36"/>
        <v>-8.9347692571379533E-2</v>
      </c>
      <c r="Q53" s="106">
        <f t="shared" si="36"/>
        <v>-4.8106603074623444E-2</v>
      </c>
      <c r="R53" s="106"/>
      <c r="S53" s="106"/>
      <c r="T53" s="111"/>
      <c r="U53" s="111"/>
      <c r="V53" s="111"/>
      <c r="W53" s="111"/>
      <c r="X53" s="111"/>
      <c r="Y53" s="111"/>
      <c r="Z53" s="111"/>
      <c r="AA53" s="111"/>
      <c r="AB53" s="111"/>
      <c r="AC53" s="111"/>
      <c r="AD53" s="111"/>
      <c r="AE53" s="111"/>
      <c r="AF53" s="111"/>
      <c r="AG53" s="111"/>
      <c r="AH53" s="111"/>
      <c r="AI53" s="111"/>
      <c r="AJ53" s="111"/>
      <c r="AK53" s="111"/>
      <c r="AL53" s="111"/>
      <c r="AM53" s="111"/>
      <c r="AN53" s="111"/>
    </row>
    <row r="54" spans="2:40" x14ac:dyDescent="0.2">
      <c r="B54" s="101" t="s">
        <v>384</v>
      </c>
      <c r="D54" s="95"/>
      <c r="E54" s="95">
        <f t="shared" ref="E54:Q54" si="37">+E52-E49</f>
        <v>161</v>
      </c>
      <c r="F54" s="95">
        <f t="shared" si="37"/>
        <v>281.83333333333337</v>
      </c>
      <c r="G54" s="95">
        <f t="shared" si="37"/>
        <v>342.83333333333337</v>
      </c>
      <c r="H54" s="95">
        <f t="shared" si="37"/>
        <v>187.33333333333337</v>
      </c>
      <c r="I54" s="95">
        <f t="shared" si="37"/>
        <v>119.83333333333348</v>
      </c>
      <c r="J54" s="95">
        <f t="shared" si="37"/>
        <v>43.166666666666742</v>
      </c>
      <c r="K54" s="95">
        <f t="shared" si="37"/>
        <v>41.833333333333485</v>
      </c>
      <c r="L54" s="95">
        <f t="shared" si="37"/>
        <v>89</v>
      </c>
      <c r="M54" s="95">
        <f t="shared" si="37"/>
        <v>-174.66666666666697</v>
      </c>
      <c r="N54" s="95">
        <f t="shared" si="37"/>
        <v>-1063.8333333333339</v>
      </c>
      <c r="O54" s="95">
        <f t="shared" si="37"/>
        <v>-440.71428571428623</v>
      </c>
      <c r="P54" s="95">
        <f t="shared" si="37"/>
        <v>-834.0666666666657</v>
      </c>
      <c r="Q54" s="95">
        <f t="shared" si="37"/>
        <v>-556.77499999999964</v>
      </c>
      <c r="R54" s="95"/>
      <c r="S54" s="95"/>
    </row>
    <row r="55" spans="2:40" x14ac:dyDescent="0.2">
      <c r="D55" s="95"/>
      <c r="E55" s="95"/>
      <c r="F55" s="95"/>
      <c r="G55" s="95"/>
      <c r="H55" s="95"/>
      <c r="I55" s="95"/>
      <c r="J55" s="95"/>
      <c r="K55" s="95"/>
      <c r="L55" s="95"/>
      <c r="M55" s="95"/>
      <c r="N55" s="95"/>
      <c r="O55" s="95"/>
      <c r="P55" s="95"/>
      <c r="Q55" s="95"/>
      <c r="R55" s="95"/>
      <c r="S55" s="95"/>
    </row>
    <row r="56" spans="2:40" x14ac:dyDescent="0.2">
      <c r="B56" s="54" t="s">
        <v>23</v>
      </c>
      <c r="D56" s="95"/>
      <c r="E56" s="95"/>
      <c r="F56" s="95"/>
      <c r="G56" s="95"/>
      <c r="H56" s="95"/>
      <c r="I56" s="95"/>
      <c r="J56" s="95"/>
      <c r="K56" s="95"/>
      <c r="L56" s="95"/>
      <c r="M56" s="95"/>
      <c r="N56" s="95"/>
      <c r="O56" s="95"/>
      <c r="P56" s="95"/>
      <c r="Q56" s="95"/>
      <c r="R56" s="95"/>
      <c r="S56" s="95"/>
    </row>
    <row r="57" spans="2:40" x14ac:dyDescent="0.2">
      <c r="B57" t="s">
        <v>381</v>
      </c>
      <c r="D57" s="64"/>
      <c r="E57" s="64">
        <f t="shared" ref="E57:AB57" si="38">+E49</f>
        <v>162</v>
      </c>
      <c r="F57" s="64">
        <f t="shared" si="38"/>
        <v>367.16666666666663</v>
      </c>
      <c r="G57" s="64">
        <f t="shared" si="38"/>
        <v>523.16666666666663</v>
      </c>
      <c r="H57" s="64">
        <f t="shared" si="38"/>
        <v>736.66666666666663</v>
      </c>
      <c r="I57" s="64">
        <f t="shared" si="38"/>
        <v>1095.1666666666665</v>
      </c>
      <c r="J57" s="64">
        <f t="shared" si="38"/>
        <v>1547.8333333333333</v>
      </c>
      <c r="K57" s="64">
        <f t="shared" si="38"/>
        <v>2291.1666666666665</v>
      </c>
      <c r="L57" s="64">
        <f t="shared" si="38"/>
        <v>3586</v>
      </c>
      <c r="M57" s="64">
        <f t="shared" si="38"/>
        <v>5353.666666666667</v>
      </c>
      <c r="N57" s="64">
        <f t="shared" si="38"/>
        <v>7452.8333333333339</v>
      </c>
      <c r="O57" s="64">
        <f t="shared" si="38"/>
        <v>8000.7142857142862</v>
      </c>
      <c r="P57" s="64">
        <f t="shared" si="38"/>
        <v>9335.0666666666657</v>
      </c>
      <c r="Q57" s="64">
        <f t="shared" si="38"/>
        <v>11573.775</v>
      </c>
      <c r="R57" s="64">
        <f t="shared" si="38"/>
        <v>15299.789803690475</v>
      </c>
      <c r="S57" s="64">
        <f t="shared" si="38"/>
        <v>19299.592133266509</v>
      </c>
      <c r="T57" s="64">
        <f t="shared" si="38"/>
        <v>22851.677705589478</v>
      </c>
      <c r="U57" s="64">
        <f t="shared" si="38"/>
        <v>27094.615166935451</v>
      </c>
      <c r="V57" s="64">
        <f t="shared" si="38"/>
        <v>31587.722464484548</v>
      </c>
      <c r="W57" s="64">
        <f t="shared" si="38"/>
        <v>35955.141159418847</v>
      </c>
      <c r="X57" s="64">
        <f t="shared" si="38"/>
        <v>40720.409908538044</v>
      </c>
      <c r="Y57" s="64">
        <f t="shared" si="38"/>
        <v>45032.587182727199</v>
      </c>
      <c r="Z57" s="64">
        <f t="shared" si="38"/>
        <v>49303.430582080196</v>
      </c>
      <c r="AA57" s="64">
        <f t="shared" si="38"/>
        <v>54012.74107153451</v>
      </c>
      <c r="AB57" s="64">
        <f t="shared" si="38"/>
        <v>59925.778182401758</v>
      </c>
      <c r="AC57" s="64">
        <f>+AC49</f>
        <v>66496.570891600408</v>
      </c>
    </row>
    <row r="58" spans="2:40" ht="13.5" x14ac:dyDescent="0.35">
      <c r="B58" t="s">
        <v>385</v>
      </c>
      <c r="D58" s="82"/>
      <c r="E58" s="82">
        <v>0</v>
      </c>
      <c r="F58" s="82">
        <v>0</v>
      </c>
      <c r="G58" s="82">
        <v>145</v>
      </c>
      <c r="H58" s="82">
        <v>319</v>
      </c>
      <c r="I58" s="82">
        <v>730</v>
      </c>
      <c r="J58" s="82">
        <v>751</v>
      </c>
      <c r="K58" s="82">
        <v>692</v>
      </c>
      <c r="L58" s="82">
        <v>640</v>
      </c>
      <c r="M58" s="82">
        <v>562</v>
      </c>
      <c r="N58" s="82">
        <v>473</v>
      </c>
      <c r="O58" s="82">
        <v>407</v>
      </c>
      <c r="P58" s="82">
        <v>185</v>
      </c>
      <c r="Q58" s="82">
        <v>161</v>
      </c>
      <c r="R58" s="71">
        <v>136</v>
      </c>
      <c r="S58" s="71">
        <v>97</v>
      </c>
      <c r="T58" s="71">
        <v>46</v>
      </c>
      <c r="U58" s="71">
        <v>24</v>
      </c>
      <c r="V58" s="71">
        <v>15</v>
      </c>
      <c r="W58" s="71">
        <v>10</v>
      </c>
      <c r="X58" s="71">
        <v>10</v>
      </c>
      <c r="Y58" s="71">
        <v>10</v>
      </c>
      <c r="Z58" s="71">
        <v>10</v>
      </c>
      <c r="AA58" s="71">
        <v>10</v>
      </c>
      <c r="AB58" s="71">
        <v>10</v>
      </c>
      <c r="AC58" s="71">
        <v>10</v>
      </c>
    </row>
    <row r="59" spans="2:40" s="44" customFormat="1" x14ac:dyDescent="0.2">
      <c r="B59" s="110" t="s">
        <v>386</v>
      </c>
      <c r="D59" s="111"/>
      <c r="E59" s="111">
        <f t="shared" ref="E59:AB59" si="39">SUM(E57:E58)</f>
        <v>162</v>
      </c>
      <c r="F59" s="111">
        <f t="shared" si="39"/>
        <v>367.16666666666663</v>
      </c>
      <c r="G59" s="111">
        <f t="shared" si="39"/>
        <v>668.16666666666663</v>
      </c>
      <c r="H59" s="111">
        <f t="shared" si="39"/>
        <v>1055.6666666666665</v>
      </c>
      <c r="I59" s="111">
        <f t="shared" si="39"/>
        <v>1825.1666666666665</v>
      </c>
      <c r="J59" s="111">
        <f t="shared" si="39"/>
        <v>2298.833333333333</v>
      </c>
      <c r="K59" s="111">
        <f t="shared" si="39"/>
        <v>2983.1666666666665</v>
      </c>
      <c r="L59" s="111">
        <f t="shared" si="39"/>
        <v>4226</v>
      </c>
      <c r="M59" s="111">
        <f t="shared" si="39"/>
        <v>5915.666666666667</v>
      </c>
      <c r="N59" s="111">
        <f t="shared" si="39"/>
        <v>7925.8333333333339</v>
      </c>
      <c r="O59" s="111">
        <f t="shared" si="39"/>
        <v>8407.7142857142862</v>
      </c>
      <c r="P59" s="111">
        <f t="shared" si="39"/>
        <v>9520.0666666666657</v>
      </c>
      <c r="Q59" s="111">
        <f t="shared" si="39"/>
        <v>11734.775</v>
      </c>
      <c r="R59" s="111">
        <f t="shared" si="39"/>
        <v>15435.789803690475</v>
      </c>
      <c r="S59" s="111">
        <f t="shared" si="39"/>
        <v>19396.592133266509</v>
      </c>
      <c r="T59" s="111">
        <f t="shared" si="39"/>
        <v>22897.677705589478</v>
      </c>
      <c r="U59" s="111">
        <f t="shared" si="39"/>
        <v>27118.615166935451</v>
      </c>
      <c r="V59" s="111">
        <f t="shared" si="39"/>
        <v>31602.722464484548</v>
      </c>
      <c r="W59" s="111">
        <f t="shared" si="39"/>
        <v>35965.141159418847</v>
      </c>
      <c r="X59" s="111">
        <f t="shared" si="39"/>
        <v>40730.409908538044</v>
      </c>
      <c r="Y59" s="111">
        <f t="shared" si="39"/>
        <v>45042.587182727199</v>
      </c>
      <c r="Z59" s="111">
        <f t="shared" si="39"/>
        <v>49313.430582080196</v>
      </c>
      <c r="AA59" s="111">
        <f t="shared" si="39"/>
        <v>54022.74107153451</v>
      </c>
      <c r="AB59" s="111">
        <f t="shared" si="39"/>
        <v>59935.778182401758</v>
      </c>
      <c r="AC59" s="111">
        <f>SUM(AC57:AC58)</f>
        <v>66506.570891600408</v>
      </c>
    </row>
    <row r="60" spans="2:40" hidden="1" outlineLevel="1" x14ac:dyDescent="0.2">
      <c r="B60" s="101"/>
      <c r="P60" s="64"/>
      <c r="Q60" s="64"/>
      <c r="R60" s="64"/>
    </row>
    <row r="61" spans="2:40" hidden="1" outlineLevel="1" x14ac:dyDescent="0.2">
      <c r="B61" s="54" t="s">
        <v>387</v>
      </c>
    </row>
    <row r="62" spans="2:40" hidden="1" outlineLevel="1" x14ac:dyDescent="0.2">
      <c r="B62" t="s">
        <v>371</v>
      </c>
      <c r="E62" s="64">
        <f>+E$21</f>
        <v>972</v>
      </c>
      <c r="F62" s="64">
        <f>+E62</f>
        <v>972</v>
      </c>
      <c r="G62" s="64">
        <f t="shared" ref="G62:O67" si="40">+F62</f>
        <v>972</v>
      </c>
      <c r="H62" s="64">
        <f t="shared" si="40"/>
        <v>972</v>
      </c>
      <c r="I62" s="64">
        <f t="shared" si="40"/>
        <v>972</v>
      </c>
      <c r="J62" s="64">
        <f t="shared" si="40"/>
        <v>972</v>
      </c>
      <c r="K62" s="64">
        <f t="shared" si="40"/>
        <v>972</v>
      </c>
      <c r="L62" s="64">
        <f t="shared" si="40"/>
        <v>972</v>
      </c>
      <c r="M62" s="64">
        <f t="shared" si="40"/>
        <v>972</v>
      </c>
      <c r="N62" s="64">
        <f t="shared" si="40"/>
        <v>972</v>
      </c>
      <c r="O62" s="64">
        <f t="shared" si="40"/>
        <v>972</v>
      </c>
      <c r="P62" s="64">
        <f t="shared" ref="M62:AC74" si="41">+O62</f>
        <v>972</v>
      </c>
      <c r="Q62" s="64">
        <f t="shared" si="41"/>
        <v>972</v>
      </c>
      <c r="R62" s="64">
        <f t="shared" si="41"/>
        <v>972</v>
      </c>
      <c r="S62" s="64">
        <f t="shared" si="41"/>
        <v>972</v>
      </c>
      <c r="T62" s="64">
        <f t="shared" si="41"/>
        <v>972</v>
      </c>
      <c r="U62" s="64">
        <f t="shared" si="41"/>
        <v>972</v>
      </c>
      <c r="V62" s="64">
        <f t="shared" si="41"/>
        <v>972</v>
      </c>
      <c r="W62" s="64">
        <f t="shared" si="41"/>
        <v>972</v>
      </c>
      <c r="X62" s="64">
        <f t="shared" si="41"/>
        <v>972</v>
      </c>
      <c r="Y62" s="64">
        <f t="shared" si="41"/>
        <v>972</v>
      </c>
      <c r="Z62" s="64">
        <f t="shared" si="41"/>
        <v>972</v>
      </c>
      <c r="AA62" s="64">
        <f t="shared" si="41"/>
        <v>972</v>
      </c>
      <c r="AB62" s="64">
        <f t="shared" si="41"/>
        <v>972</v>
      </c>
      <c r="AC62" s="64">
        <f t="shared" si="41"/>
        <v>972</v>
      </c>
    </row>
    <row r="63" spans="2:40" hidden="1" outlineLevel="1" x14ac:dyDescent="0.2">
      <c r="B63" t="s">
        <v>106</v>
      </c>
      <c r="F63" s="64">
        <f>+F$21</f>
        <v>1231</v>
      </c>
      <c r="G63" s="64">
        <f>+F63</f>
        <v>1231</v>
      </c>
      <c r="H63" s="64">
        <f t="shared" si="40"/>
        <v>1231</v>
      </c>
      <c r="I63" s="64">
        <f t="shared" si="40"/>
        <v>1231</v>
      </c>
      <c r="J63" s="64">
        <f t="shared" si="40"/>
        <v>1231</v>
      </c>
      <c r="K63" s="64">
        <f t="shared" si="40"/>
        <v>1231</v>
      </c>
      <c r="L63" s="64">
        <f t="shared" si="40"/>
        <v>1231</v>
      </c>
      <c r="M63" s="64">
        <f t="shared" si="40"/>
        <v>1231</v>
      </c>
      <c r="N63" s="64">
        <f t="shared" si="40"/>
        <v>1231</v>
      </c>
      <c r="O63" s="64">
        <f t="shared" si="40"/>
        <v>1231</v>
      </c>
      <c r="P63" s="64">
        <f t="shared" si="41"/>
        <v>1231</v>
      </c>
      <c r="Q63" s="64">
        <f t="shared" si="41"/>
        <v>1231</v>
      </c>
      <c r="R63" s="64">
        <f t="shared" si="41"/>
        <v>1231</v>
      </c>
      <c r="S63" s="64">
        <f t="shared" si="41"/>
        <v>1231</v>
      </c>
      <c r="T63" s="64">
        <f t="shared" si="41"/>
        <v>1231</v>
      </c>
      <c r="U63" s="64">
        <f t="shared" si="41"/>
        <v>1231</v>
      </c>
      <c r="V63" s="64">
        <f t="shared" si="41"/>
        <v>1231</v>
      </c>
      <c r="W63" s="64">
        <f t="shared" si="41"/>
        <v>1231</v>
      </c>
      <c r="X63" s="64">
        <f t="shared" si="41"/>
        <v>1231</v>
      </c>
      <c r="Y63" s="64">
        <f t="shared" si="41"/>
        <v>1231</v>
      </c>
      <c r="Z63" s="64">
        <f t="shared" si="41"/>
        <v>1231</v>
      </c>
      <c r="AA63" s="64">
        <f t="shared" si="41"/>
        <v>1231</v>
      </c>
      <c r="AB63" s="64">
        <f t="shared" si="41"/>
        <v>1231</v>
      </c>
      <c r="AC63" s="64">
        <f t="shared" si="41"/>
        <v>1231</v>
      </c>
    </row>
    <row r="64" spans="2:40" hidden="1" outlineLevel="1" x14ac:dyDescent="0.2">
      <c r="B64" t="s">
        <v>107</v>
      </c>
      <c r="G64" s="64">
        <f>+G$21</f>
        <v>936</v>
      </c>
      <c r="H64" s="64">
        <f>+G64</f>
        <v>936</v>
      </c>
      <c r="I64" s="64">
        <f t="shared" si="40"/>
        <v>936</v>
      </c>
      <c r="J64" s="64">
        <f t="shared" si="40"/>
        <v>936</v>
      </c>
      <c r="K64" s="64">
        <f t="shared" si="40"/>
        <v>936</v>
      </c>
      <c r="L64" s="64">
        <f t="shared" si="40"/>
        <v>936</v>
      </c>
      <c r="M64" s="64">
        <f t="shared" si="40"/>
        <v>936</v>
      </c>
      <c r="N64" s="64">
        <f t="shared" si="40"/>
        <v>936</v>
      </c>
      <c r="O64" s="64">
        <f t="shared" si="40"/>
        <v>936</v>
      </c>
      <c r="P64" s="64">
        <f t="shared" si="41"/>
        <v>936</v>
      </c>
      <c r="Q64" s="64">
        <f t="shared" si="41"/>
        <v>936</v>
      </c>
      <c r="R64" s="64">
        <f t="shared" si="41"/>
        <v>936</v>
      </c>
      <c r="S64" s="64">
        <f t="shared" si="41"/>
        <v>936</v>
      </c>
      <c r="T64" s="64">
        <f t="shared" si="41"/>
        <v>936</v>
      </c>
      <c r="U64" s="64">
        <f t="shared" si="41"/>
        <v>936</v>
      </c>
      <c r="V64" s="64">
        <f t="shared" si="41"/>
        <v>936</v>
      </c>
      <c r="W64" s="64">
        <f t="shared" si="41"/>
        <v>936</v>
      </c>
      <c r="X64" s="64">
        <f t="shared" si="41"/>
        <v>936</v>
      </c>
      <c r="Y64" s="64">
        <f t="shared" si="41"/>
        <v>936</v>
      </c>
      <c r="Z64" s="64">
        <f t="shared" si="41"/>
        <v>936</v>
      </c>
      <c r="AA64" s="64">
        <f t="shared" si="41"/>
        <v>936</v>
      </c>
      <c r="AB64" s="64">
        <f t="shared" si="41"/>
        <v>936</v>
      </c>
      <c r="AC64" s="64">
        <f t="shared" si="41"/>
        <v>936</v>
      </c>
    </row>
    <row r="65" spans="2:40" hidden="1" outlineLevel="1" x14ac:dyDescent="0.2">
      <c r="B65" t="s">
        <v>0</v>
      </c>
      <c r="H65" s="64">
        <f>+H$21</f>
        <v>1281</v>
      </c>
      <c r="I65" s="64">
        <f>+H65</f>
        <v>1281</v>
      </c>
      <c r="J65" s="64">
        <f t="shared" si="40"/>
        <v>1281</v>
      </c>
      <c r="K65" s="64">
        <f t="shared" si="40"/>
        <v>1281</v>
      </c>
      <c r="L65" s="64">
        <f t="shared" si="40"/>
        <v>1281</v>
      </c>
      <c r="M65" s="64">
        <f t="shared" si="40"/>
        <v>1281</v>
      </c>
      <c r="N65" s="64">
        <f t="shared" si="40"/>
        <v>1281</v>
      </c>
      <c r="O65" s="64">
        <f t="shared" si="40"/>
        <v>1281</v>
      </c>
      <c r="P65" s="64">
        <f t="shared" si="41"/>
        <v>1281</v>
      </c>
      <c r="Q65" s="64">
        <f t="shared" si="41"/>
        <v>1281</v>
      </c>
      <c r="R65" s="64">
        <f t="shared" si="41"/>
        <v>1281</v>
      </c>
      <c r="S65" s="64">
        <f t="shared" si="41"/>
        <v>1281</v>
      </c>
      <c r="T65" s="64">
        <f t="shared" si="41"/>
        <v>1281</v>
      </c>
      <c r="U65" s="64">
        <f t="shared" si="41"/>
        <v>1281</v>
      </c>
      <c r="V65" s="64">
        <f t="shared" si="41"/>
        <v>1281</v>
      </c>
      <c r="W65" s="64">
        <f t="shared" si="41"/>
        <v>1281</v>
      </c>
      <c r="X65" s="64">
        <f t="shared" si="41"/>
        <v>1281</v>
      </c>
      <c r="Y65" s="64">
        <f t="shared" si="41"/>
        <v>1281</v>
      </c>
      <c r="Z65" s="64">
        <f t="shared" si="41"/>
        <v>1281</v>
      </c>
      <c r="AA65" s="64">
        <f t="shared" si="41"/>
        <v>1281</v>
      </c>
      <c r="AB65" s="64">
        <f t="shared" si="41"/>
        <v>1281</v>
      </c>
      <c r="AC65" s="64">
        <f t="shared" si="41"/>
        <v>1281</v>
      </c>
    </row>
    <row r="66" spans="2:40" hidden="1" outlineLevel="1" x14ac:dyDescent="0.2">
      <c r="B66" t="s">
        <v>1</v>
      </c>
      <c r="I66" s="64">
        <f>+I$21</f>
        <v>2151</v>
      </c>
      <c r="J66" s="64">
        <f>+I66</f>
        <v>2151</v>
      </c>
      <c r="K66" s="64">
        <f t="shared" si="40"/>
        <v>2151</v>
      </c>
      <c r="L66" s="64">
        <f t="shared" si="40"/>
        <v>2151</v>
      </c>
      <c r="M66" s="64">
        <f t="shared" si="40"/>
        <v>2151</v>
      </c>
      <c r="N66" s="64">
        <f t="shared" si="40"/>
        <v>2151</v>
      </c>
      <c r="O66" s="64">
        <f t="shared" si="40"/>
        <v>2151</v>
      </c>
      <c r="P66" s="64">
        <f t="shared" si="41"/>
        <v>2151</v>
      </c>
      <c r="Q66" s="64">
        <f t="shared" si="41"/>
        <v>2151</v>
      </c>
      <c r="R66" s="64">
        <f t="shared" si="41"/>
        <v>2151</v>
      </c>
      <c r="S66" s="64">
        <f t="shared" si="41"/>
        <v>2151</v>
      </c>
      <c r="T66" s="64">
        <f t="shared" si="41"/>
        <v>2151</v>
      </c>
      <c r="U66" s="64">
        <f t="shared" si="41"/>
        <v>2151</v>
      </c>
      <c r="V66" s="64">
        <f t="shared" si="41"/>
        <v>2151</v>
      </c>
      <c r="W66" s="64">
        <f t="shared" si="41"/>
        <v>2151</v>
      </c>
      <c r="X66" s="64">
        <f t="shared" si="41"/>
        <v>2151</v>
      </c>
      <c r="Y66" s="64">
        <f t="shared" si="41"/>
        <v>2151</v>
      </c>
      <c r="Z66" s="64">
        <f t="shared" si="41"/>
        <v>2151</v>
      </c>
      <c r="AA66" s="64">
        <f t="shared" si="41"/>
        <v>2151</v>
      </c>
      <c r="AB66" s="64">
        <f t="shared" si="41"/>
        <v>2151</v>
      </c>
      <c r="AC66" s="64">
        <f t="shared" si="41"/>
        <v>2151</v>
      </c>
      <c r="AD66" s="64"/>
    </row>
    <row r="67" spans="2:40" hidden="1" outlineLevel="1" x14ac:dyDescent="0.2">
      <c r="B67" t="s">
        <v>2</v>
      </c>
      <c r="J67" s="64">
        <f>+J$21</f>
        <v>2716</v>
      </c>
      <c r="K67" s="64">
        <f>+J67</f>
        <v>2716</v>
      </c>
      <c r="L67" s="64">
        <f t="shared" si="40"/>
        <v>2716</v>
      </c>
      <c r="M67" s="64">
        <f t="shared" si="40"/>
        <v>2716</v>
      </c>
      <c r="N67" s="64">
        <f t="shared" si="40"/>
        <v>2716</v>
      </c>
      <c r="O67" s="64">
        <f t="shared" si="40"/>
        <v>2716</v>
      </c>
      <c r="P67" s="64">
        <f t="shared" si="41"/>
        <v>2716</v>
      </c>
      <c r="Q67" s="64">
        <f t="shared" si="41"/>
        <v>2716</v>
      </c>
      <c r="R67" s="64">
        <f t="shared" si="41"/>
        <v>2716</v>
      </c>
      <c r="S67" s="64">
        <f t="shared" si="41"/>
        <v>2716</v>
      </c>
      <c r="T67" s="64">
        <f t="shared" si="41"/>
        <v>2716</v>
      </c>
      <c r="U67" s="64">
        <f t="shared" si="41"/>
        <v>2716</v>
      </c>
      <c r="V67" s="64">
        <f t="shared" si="41"/>
        <v>2716</v>
      </c>
      <c r="W67" s="64">
        <f t="shared" si="41"/>
        <v>2716</v>
      </c>
      <c r="X67" s="64">
        <f t="shared" si="41"/>
        <v>2716</v>
      </c>
      <c r="Y67" s="64">
        <f t="shared" si="41"/>
        <v>2716</v>
      </c>
      <c r="Z67" s="64">
        <f t="shared" si="41"/>
        <v>2716</v>
      </c>
      <c r="AA67" s="64">
        <f t="shared" si="41"/>
        <v>2716</v>
      </c>
      <c r="AB67" s="64">
        <f t="shared" si="41"/>
        <v>2716</v>
      </c>
      <c r="AC67" s="64">
        <f t="shared" si="41"/>
        <v>2716</v>
      </c>
      <c r="AD67" s="64"/>
      <c r="AE67" s="64"/>
    </row>
    <row r="68" spans="2:40" hidden="1" outlineLevel="1" x14ac:dyDescent="0.2">
      <c r="B68" t="s">
        <v>3</v>
      </c>
      <c r="K68" s="64">
        <f>+K$21</f>
        <v>5432</v>
      </c>
      <c r="L68" s="64">
        <f>+K68</f>
        <v>5432</v>
      </c>
      <c r="M68" s="64">
        <f t="shared" si="41"/>
        <v>5432</v>
      </c>
      <c r="N68" s="64">
        <f t="shared" si="41"/>
        <v>5432</v>
      </c>
      <c r="O68" s="64">
        <f t="shared" si="41"/>
        <v>5432</v>
      </c>
      <c r="P68" s="64">
        <f t="shared" si="41"/>
        <v>5432</v>
      </c>
      <c r="Q68" s="64">
        <f t="shared" si="41"/>
        <v>5432</v>
      </c>
      <c r="R68" s="64">
        <f t="shared" si="41"/>
        <v>5432</v>
      </c>
      <c r="S68" s="64">
        <f t="shared" si="41"/>
        <v>5432</v>
      </c>
      <c r="T68" s="64">
        <f t="shared" si="41"/>
        <v>5432</v>
      </c>
      <c r="U68" s="64">
        <f t="shared" si="41"/>
        <v>5432</v>
      </c>
      <c r="V68" s="64">
        <f t="shared" si="41"/>
        <v>5432</v>
      </c>
      <c r="W68" s="64">
        <f t="shared" si="41"/>
        <v>5432</v>
      </c>
      <c r="X68" s="64">
        <f t="shared" si="41"/>
        <v>5432</v>
      </c>
      <c r="Y68" s="64">
        <f t="shared" si="41"/>
        <v>5432</v>
      </c>
      <c r="Z68" s="64">
        <f t="shared" si="41"/>
        <v>5432</v>
      </c>
      <c r="AA68" s="64">
        <f t="shared" si="41"/>
        <v>5432</v>
      </c>
      <c r="AB68" s="64">
        <f t="shared" si="41"/>
        <v>5432</v>
      </c>
      <c r="AC68" s="64">
        <f t="shared" si="41"/>
        <v>5432</v>
      </c>
      <c r="AD68" s="64"/>
      <c r="AE68" s="64"/>
      <c r="AF68" s="64"/>
    </row>
    <row r="69" spans="2:40" hidden="1" outlineLevel="1" x14ac:dyDescent="0.2">
      <c r="B69" t="s">
        <v>4</v>
      </c>
      <c r="L69" s="64">
        <f>+L$21</f>
        <v>9000</v>
      </c>
      <c r="M69" s="64">
        <f>+L69</f>
        <v>9000</v>
      </c>
      <c r="N69" s="64">
        <f t="shared" si="41"/>
        <v>9000</v>
      </c>
      <c r="O69" s="64">
        <f t="shared" si="41"/>
        <v>9000</v>
      </c>
      <c r="P69" s="64">
        <f t="shared" si="41"/>
        <v>9000</v>
      </c>
      <c r="Q69" s="64">
        <f t="shared" si="41"/>
        <v>9000</v>
      </c>
      <c r="R69" s="64">
        <f t="shared" si="41"/>
        <v>9000</v>
      </c>
      <c r="S69" s="64">
        <f t="shared" si="41"/>
        <v>9000</v>
      </c>
      <c r="T69" s="64">
        <f t="shared" si="41"/>
        <v>9000</v>
      </c>
      <c r="U69" s="64">
        <f t="shared" si="41"/>
        <v>9000</v>
      </c>
      <c r="V69" s="64">
        <f t="shared" si="41"/>
        <v>9000</v>
      </c>
      <c r="W69" s="64">
        <f t="shared" si="41"/>
        <v>9000</v>
      </c>
      <c r="X69" s="64">
        <f t="shared" si="41"/>
        <v>9000</v>
      </c>
      <c r="Y69" s="64">
        <f t="shared" si="41"/>
        <v>9000</v>
      </c>
      <c r="Z69" s="64">
        <f t="shared" si="41"/>
        <v>9000</v>
      </c>
      <c r="AA69" s="64">
        <f t="shared" si="41"/>
        <v>9000</v>
      </c>
      <c r="AB69" s="64">
        <f t="shared" si="41"/>
        <v>9000</v>
      </c>
      <c r="AC69" s="64">
        <f t="shared" si="41"/>
        <v>9000</v>
      </c>
      <c r="AD69" s="64"/>
      <c r="AE69" s="64"/>
      <c r="AF69" s="64"/>
      <c r="AG69" s="64"/>
    </row>
    <row r="70" spans="2:40" hidden="1" outlineLevel="1" x14ac:dyDescent="0.2">
      <c r="B70" t="s">
        <v>5</v>
      </c>
      <c r="M70" s="64">
        <f>+M$21</f>
        <v>11542</v>
      </c>
      <c r="N70" s="64">
        <f>+M70</f>
        <v>11542</v>
      </c>
      <c r="O70" s="64">
        <f t="shared" si="41"/>
        <v>11542</v>
      </c>
      <c r="P70" s="64">
        <f t="shared" si="41"/>
        <v>11542</v>
      </c>
      <c r="Q70" s="64">
        <f t="shared" si="41"/>
        <v>11542</v>
      </c>
      <c r="R70" s="64">
        <f t="shared" si="41"/>
        <v>11542</v>
      </c>
      <c r="S70" s="64">
        <f t="shared" si="41"/>
        <v>11542</v>
      </c>
      <c r="T70" s="64">
        <f t="shared" si="41"/>
        <v>11542</v>
      </c>
      <c r="U70" s="64">
        <f t="shared" si="41"/>
        <v>11542</v>
      </c>
      <c r="V70" s="64">
        <f t="shared" si="41"/>
        <v>11542</v>
      </c>
      <c r="W70" s="64">
        <f t="shared" si="41"/>
        <v>11542</v>
      </c>
      <c r="X70" s="64">
        <f t="shared" si="41"/>
        <v>11542</v>
      </c>
      <c r="Y70" s="64">
        <f t="shared" si="41"/>
        <v>11542</v>
      </c>
      <c r="Z70" s="64">
        <f t="shared" si="41"/>
        <v>11542</v>
      </c>
      <c r="AA70" s="64">
        <f t="shared" si="41"/>
        <v>11542</v>
      </c>
      <c r="AB70" s="64">
        <f t="shared" si="41"/>
        <v>11542</v>
      </c>
      <c r="AC70" s="64">
        <f t="shared" si="41"/>
        <v>11542</v>
      </c>
      <c r="AD70" s="64"/>
      <c r="AE70" s="64"/>
      <c r="AF70" s="64"/>
      <c r="AG70" s="64"/>
      <c r="AH70" s="64"/>
    </row>
    <row r="71" spans="2:40" hidden="1" outlineLevel="1" x14ac:dyDescent="0.2">
      <c r="B71" t="s">
        <v>6</v>
      </c>
      <c r="N71" s="64">
        <f>+N$21</f>
        <v>13876</v>
      </c>
      <c r="O71" s="64">
        <f>+N71</f>
        <v>13876</v>
      </c>
      <c r="P71" s="64">
        <f t="shared" si="41"/>
        <v>13876</v>
      </c>
      <c r="Q71" s="64">
        <f t="shared" si="41"/>
        <v>13876</v>
      </c>
      <c r="R71" s="64">
        <f t="shared" si="41"/>
        <v>13876</v>
      </c>
      <c r="S71" s="64">
        <f t="shared" si="41"/>
        <v>13876</v>
      </c>
      <c r="T71" s="64">
        <f t="shared" si="41"/>
        <v>13876</v>
      </c>
      <c r="U71" s="64">
        <f t="shared" si="41"/>
        <v>13876</v>
      </c>
      <c r="V71" s="64">
        <f t="shared" si="41"/>
        <v>13876</v>
      </c>
      <c r="W71" s="64">
        <f t="shared" si="41"/>
        <v>13876</v>
      </c>
      <c r="X71" s="64">
        <f t="shared" si="41"/>
        <v>13876</v>
      </c>
      <c r="Y71" s="64">
        <f t="shared" si="41"/>
        <v>13876</v>
      </c>
      <c r="Z71" s="64">
        <f t="shared" si="41"/>
        <v>13876</v>
      </c>
      <c r="AA71" s="64">
        <f t="shared" si="41"/>
        <v>13876</v>
      </c>
      <c r="AB71" s="64">
        <f t="shared" si="41"/>
        <v>13876</v>
      </c>
      <c r="AC71" s="64">
        <f t="shared" si="41"/>
        <v>13876</v>
      </c>
      <c r="AD71" s="64"/>
      <c r="AE71" s="64"/>
      <c r="AF71" s="64"/>
      <c r="AG71" s="64"/>
      <c r="AH71" s="64"/>
      <c r="AI71" s="64"/>
    </row>
    <row r="72" spans="2:40" hidden="1" outlineLevel="1" x14ac:dyDescent="0.2">
      <c r="B72" t="s">
        <v>321</v>
      </c>
      <c r="O72" s="64">
        <f>+O$21</f>
        <v>13439</v>
      </c>
      <c r="P72" s="64">
        <f>+O72</f>
        <v>13439</v>
      </c>
      <c r="Q72" s="64">
        <f t="shared" si="41"/>
        <v>13439</v>
      </c>
      <c r="R72" s="64">
        <f t="shared" si="41"/>
        <v>13439</v>
      </c>
      <c r="S72" s="64">
        <f t="shared" si="41"/>
        <v>13439</v>
      </c>
      <c r="T72" s="64">
        <f t="shared" si="41"/>
        <v>13439</v>
      </c>
      <c r="U72" s="64">
        <f t="shared" si="41"/>
        <v>13439</v>
      </c>
      <c r="V72" s="64">
        <f t="shared" si="41"/>
        <v>13439</v>
      </c>
      <c r="W72" s="64">
        <f t="shared" si="41"/>
        <v>13439</v>
      </c>
      <c r="X72" s="64">
        <f t="shared" si="41"/>
        <v>13439</v>
      </c>
      <c r="Y72" s="64">
        <f t="shared" si="41"/>
        <v>13439</v>
      </c>
      <c r="Z72" s="64">
        <f t="shared" si="41"/>
        <v>13439</v>
      </c>
      <c r="AA72" s="64">
        <f t="shared" si="41"/>
        <v>13439</v>
      </c>
      <c r="AB72" s="64">
        <f t="shared" si="41"/>
        <v>13439</v>
      </c>
      <c r="AC72" s="64">
        <f t="shared" si="41"/>
        <v>13439</v>
      </c>
      <c r="AD72" s="64"/>
      <c r="AE72" s="64"/>
      <c r="AF72" s="64"/>
      <c r="AG72" s="64"/>
      <c r="AH72" s="64"/>
      <c r="AI72" s="64"/>
      <c r="AJ72" s="64"/>
    </row>
    <row r="73" spans="2:40" hidden="1" outlineLevel="1" x14ac:dyDescent="0.2">
      <c r="B73" t="s">
        <v>306</v>
      </c>
      <c r="P73" s="64">
        <f>+P$21</f>
        <v>16239</v>
      </c>
      <c r="Q73" s="64">
        <f>+P73</f>
        <v>16239</v>
      </c>
      <c r="R73" s="64">
        <f t="shared" si="41"/>
        <v>16239</v>
      </c>
      <c r="S73" s="64">
        <f t="shared" si="41"/>
        <v>16239</v>
      </c>
      <c r="T73" s="64">
        <f t="shared" si="41"/>
        <v>16239</v>
      </c>
      <c r="U73" s="64">
        <f t="shared" si="41"/>
        <v>16239</v>
      </c>
      <c r="V73" s="64">
        <f t="shared" si="41"/>
        <v>16239</v>
      </c>
      <c r="W73" s="64">
        <f t="shared" si="41"/>
        <v>16239</v>
      </c>
      <c r="X73" s="64">
        <f t="shared" si="41"/>
        <v>16239</v>
      </c>
      <c r="Y73" s="64">
        <f t="shared" si="41"/>
        <v>16239</v>
      </c>
      <c r="Z73" s="64">
        <f t="shared" si="41"/>
        <v>16239</v>
      </c>
      <c r="AA73" s="64">
        <f t="shared" si="41"/>
        <v>16239</v>
      </c>
      <c r="AB73" s="64">
        <f t="shared" si="41"/>
        <v>16239</v>
      </c>
      <c r="AC73" s="64">
        <f t="shared" si="41"/>
        <v>16239</v>
      </c>
      <c r="AD73" s="64"/>
      <c r="AE73" s="64"/>
      <c r="AF73" s="64"/>
      <c r="AG73" s="64"/>
      <c r="AH73" s="64"/>
      <c r="AI73" s="64"/>
      <c r="AJ73" s="64"/>
      <c r="AK73" s="64"/>
    </row>
    <row r="74" spans="2:40" hidden="1" outlineLevel="1" x14ac:dyDescent="0.2">
      <c r="B74" t="s">
        <v>357</v>
      </c>
      <c r="Q74" s="64">
        <f>+Q$21</f>
        <v>26011</v>
      </c>
      <c r="R74" s="64">
        <f>+Q74</f>
        <v>26011</v>
      </c>
      <c r="S74" s="64">
        <f t="shared" si="41"/>
        <v>26011</v>
      </c>
      <c r="T74" s="64">
        <f t="shared" si="41"/>
        <v>26011</v>
      </c>
      <c r="U74" s="64">
        <f t="shared" si="41"/>
        <v>26011</v>
      </c>
      <c r="V74" s="64">
        <f t="shared" si="41"/>
        <v>26011</v>
      </c>
      <c r="W74" s="64">
        <f t="shared" si="41"/>
        <v>26011</v>
      </c>
      <c r="X74" s="64">
        <f t="shared" ref="X74:AC74" si="42">+W74</f>
        <v>26011</v>
      </c>
      <c r="Y74" s="64">
        <f t="shared" si="42"/>
        <v>26011</v>
      </c>
      <c r="Z74" s="64">
        <f t="shared" si="42"/>
        <v>26011</v>
      </c>
      <c r="AA74" s="64">
        <f t="shared" si="42"/>
        <v>26011</v>
      </c>
      <c r="AB74" s="64">
        <f t="shared" si="42"/>
        <v>26011</v>
      </c>
      <c r="AC74" s="64">
        <f t="shared" si="42"/>
        <v>26011</v>
      </c>
      <c r="AD74" s="64"/>
      <c r="AE74" s="64"/>
      <c r="AF74" s="64"/>
      <c r="AG74" s="64"/>
      <c r="AH74" s="64"/>
      <c r="AI74" s="64"/>
      <c r="AJ74" s="64"/>
      <c r="AK74" s="64"/>
      <c r="AL74" s="64"/>
    </row>
    <row r="75" spans="2:40" hidden="1" outlineLevel="1" x14ac:dyDescent="0.2">
      <c r="B75" t="s">
        <v>7</v>
      </c>
      <c r="R75" s="64">
        <f>+R$21</f>
        <v>34177.032715238092</v>
      </c>
      <c r="S75" s="64">
        <f>+R75</f>
        <v>34177.032715238092</v>
      </c>
      <c r="T75" s="64">
        <f t="shared" ref="T75:AC83" si="43">+S75</f>
        <v>34177.032715238092</v>
      </c>
      <c r="U75" s="64">
        <f t="shared" si="43"/>
        <v>34177.032715238092</v>
      </c>
      <c r="V75" s="64">
        <f t="shared" si="43"/>
        <v>34177.032715238092</v>
      </c>
      <c r="W75" s="64">
        <f t="shared" si="43"/>
        <v>34177.032715238092</v>
      </c>
      <c r="X75" s="64">
        <f t="shared" si="43"/>
        <v>34177.032715238092</v>
      </c>
      <c r="Y75" s="64">
        <f t="shared" si="43"/>
        <v>34177.032715238092</v>
      </c>
      <c r="Z75" s="64">
        <f t="shared" si="43"/>
        <v>34177.032715238092</v>
      </c>
      <c r="AA75" s="64">
        <f t="shared" si="43"/>
        <v>34177.032715238092</v>
      </c>
      <c r="AB75" s="64">
        <f t="shared" si="43"/>
        <v>34177.032715238092</v>
      </c>
      <c r="AC75" s="64">
        <f t="shared" si="43"/>
        <v>34177.032715238092</v>
      </c>
      <c r="AD75" s="64"/>
      <c r="AE75" s="64"/>
      <c r="AF75" s="64"/>
      <c r="AG75" s="64"/>
      <c r="AH75" s="64"/>
      <c r="AI75" s="64"/>
      <c r="AJ75" s="64"/>
      <c r="AK75" s="64"/>
      <c r="AL75" s="64"/>
      <c r="AM75" s="64"/>
    </row>
    <row r="76" spans="2:40" hidden="1" outlineLevel="1" x14ac:dyDescent="0.2">
      <c r="B76" t="s">
        <v>8</v>
      </c>
      <c r="S76" s="64">
        <f>+S$21</f>
        <v>39112.704350893997</v>
      </c>
      <c r="T76" s="64">
        <f>+S76</f>
        <v>39112.704350893997</v>
      </c>
      <c r="U76" s="64">
        <f t="shared" si="43"/>
        <v>39112.704350893997</v>
      </c>
      <c r="V76" s="64">
        <f t="shared" si="43"/>
        <v>39112.704350893997</v>
      </c>
      <c r="W76" s="64">
        <f t="shared" si="43"/>
        <v>39112.704350893997</v>
      </c>
      <c r="X76" s="64">
        <f t="shared" si="43"/>
        <v>39112.704350893997</v>
      </c>
      <c r="Y76" s="64">
        <f t="shared" si="43"/>
        <v>39112.704350893997</v>
      </c>
      <c r="Z76" s="64">
        <f t="shared" si="43"/>
        <v>39112.704350893997</v>
      </c>
      <c r="AA76" s="64">
        <f t="shared" si="43"/>
        <v>39112.704350893997</v>
      </c>
      <c r="AB76" s="64">
        <f t="shared" si="43"/>
        <v>39112.704350893997</v>
      </c>
      <c r="AC76" s="64">
        <f t="shared" si="43"/>
        <v>39112.704350893997</v>
      </c>
      <c r="AD76" s="64"/>
      <c r="AE76" s="64"/>
      <c r="AF76" s="64"/>
      <c r="AG76" s="64"/>
      <c r="AH76" s="64"/>
      <c r="AI76" s="64"/>
      <c r="AJ76" s="64"/>
      <c r="AK76" s="64"/>
      <c r="AL76" s="64"/>
      <c r="AM76" s="64"/>
      <c r="AN76" s="64"/>
    </row>
    <row r="77" spans="2:40" hidden="1" outlineLevel="1" x14ac:dyDescent="0.2">
      <c r="B77" t="s">
        <v>9</v>
      </c>
      <c r="S77" s="64"/>
      <c r="T77" s="64">
        <f>+T$21</f>
        <v>38529.675054774227</v>
      </c>
      <c r="U77" s="64">
        <f>+T77</f>
        <v>38529.675054774227</v>
      </c>
      <c r="V77" s="64">
        <f t="shared" si="43"/>
        <v>38529.675054774227</v>
      </c>
      <c r="W77" s="64">
        <f t="shared" si="43"/>
        <v>38529.675054774227</v>
      </c>
      <c r="X77" s="64">
        <f t="shared" si="43"/>
        <v>38529.675054774227</v>
      </c>
      <c r="Y77" s="64">
        <f t="shared" si="43"/>
        <v>38529.675054774227</v>
      </c>
      <c r="Z77" s="64">
        <f t="shared" si="43"/>
        <v>38529.675054774227</v>
      </c>
      <c r="AA77" s="64">
        <f t="shared" si="43"/>
        <v>38529.675054774227</v>
      </c>
      <c r="AB77" s="64">
        <f t="shared" si="43"/>
        <v>38529.675054774227</v>
      </c>
      <c r="AC77" s="64">
        <f t="shared" si="43"/>
        <v>38529.675054774227</v>
      </c>
      <c r="AD77" s="64"/>
      <c r="AE77" s="64"/>
      <c r="AF77" s="64"/>
      <c r="AG77" s="64"/>
      <c r="AH77" s="64"/>
      <c r="AI77" s="64"/>
      <c r="AJ77" s="64"/>
      <c r="AK77" s="64"/>
      <c r="AL77" s="64"/>
      <c r="AM77" s="64"/>
      <c r="AN77" s="64"/>
    </row>
    <row r="78" spans="2:40" hidden="1" outlineLevel="1" x14ac:dyDescent="0.2">
      <c r="B78" t="s">
        <v>10</v>
      </c>
      <c r="S78" s="64"/>
      <c r="T78" s="64"/>
      <c r="U78" s="64">
        <f>+U$21</f>
        <v>42905.194928863035</v>
      </c>
      <c r="V78" s="64">
        <f>+U78</f>
        <v>42905.194928863035</v>
      </c>
      <c r="W78" s="64">
        <f t="shared" si="43"/>
        <v>42905.194928863035</v>
      </c>
      <c r="X78" s="64">
        <f t="shared" si="43"/>
        <v>42905.194928863035</v>
      </c>
      <c r="Y78" s="64">
        <f t="shared" si="43"/>
        <v>42905.194928863035</v>
      </c>
      <c r="Z78" s="64">
        <f t="shared" si="43"/>
        <v>42905.194928863035</v>
      </c>
      <c r="AA78" s="64">
        <f t="shared" si="43"/>
        <v>42905.194928863035</v>
      </c>
      <c r="AB78" s="64">
        <f t="shared" si="43"/>
        <v>42905.194928863035</v>
      </c>
      <c r="AC78" s="64">
        <f t="shared" si="43"/>
        <v>42905.194928863035</v>
      </c>
      <c r="AD78" s="64"/>
      <c r="AE78" s="64"/>
      <c r="AF78" s="64"/>
      <c r="AG78" s="64"/>
      <c r="AH78" s="64"/>
      <c r="AI78" s="64"/>
      <c r="AJ78" s="64"/>
      <c r="AK78" s="64"/>
      <c r="AL78" s="64"/>
      <c r="AM78" s="64"/>
      <c r="AN78" s="64"/>
    </row>
    <row r="79" spans="2:40" hidden="1" outlineLevel="1" x14ac:dyDescent="0.2">
      <c r="B79" t="s">
        <v>11</v>
      </c>
      <c r="S79" s="64"/>
      <c r="T79" s="64"/>
      <c r="U79" s="64"/>
      <c r="V79" s="64">
        <f>+V$21</f>
        <v>45103.963142297522</v>
      </c>
      <c r="W79" s="64">
        <f>+V79</f>
        <v>45103.963142297522</v>
      </c>
      <c r="X79" s="64">
        <f t="shared" si="43"/>
        <v>45103.963142297522</v>
      </c>
      <c r="Y79" s="64">
        <f t="shared" si="43"/>
        <v>45103.963142297522</v>
      </c>
      <c r="Z79" s="64">
        <f t="shared" si="43"/>
        <v>45103.963142297522</v>
      </c>
      <c r="AA79" s="64">
        <f t="shared" si="43"/>
        <v>45103.963142297522</v>
      </c>
      <c r="AB79" s="64">
        <f t="shared" si="43"/>
        <v>45103.963142297522</v>
      </c>
      <c r="AC79" s="64">
        <f t="shared" si="43"/>
        <v>45103.963142297522</v>
      </c>
      <c r="AD79" s="64"/>
      <c r="AE79" s="64"/>
      <c r="AF79" s="64"/>
      <c r="AG79" s="64"/>
      <c r="AH79" s="64"/>
      <c r="AI79" s="64"/>
      <c r="AJ79" s="64"/>
      <c r="AK79" s="64"/>
      <c r="AL79" s="64"/>
      <c r="AM79" s="64"/>
      <c r="AN79" s="64"/>
    </row>
    <row r="80" spans="2:40" hidden="1" outlineLevel="1" x14ac:dyDescent="0.2">
      <c r="B80" t="s">
        <v>12</v>
      </c>
      <c r="S80" s="64"/>
      <c r="T80" s="64"/>
      <c r="U80" s="64"/>
      <c r="V80" s="64"/>
      <c r="W80" s="64">
        <f>+W$21</f>
        <v>46645.159083283914</v>
      </c>
      <c r="X80" s="64">
        <f>+W80</f>
        <v>46645.159083283914</v>
      </c>
      <c r="Y80" s="64">
        <f t="shared" si="43"/>
        <v>46645.159083283914</v>
      </c>
      <c r="Z80" s="64">
        <f t="shared" si="43"/>
        <v>46645.159083283914</v>
      </c>
      <c r="AA80" s="64">
        <f t="shared" si="43"/>
        <v>46645.159083283914</v>
      </c>
      <c r="AB80" s="64">
        <f t="shared" si="43"/>
        <v>46645.159083283914</v>
      </c>
      <c r="AC80" s="64">
        <f t="shared" si="43"/>
        <v>46645.159083283914</v>
      </c>
      <c r="AD80" s="64"/>
      <c r="AE80" s="64"/>
      <c r="AF80" s="64"/>
      <c r="AG80" s="64"/>
      <c r="AH80" s="64"/>
      <c r="AI80" s="64"/>
      <c r="AJ80" s="64"/>
      <c r="AK80" s="64"/>
      <c r="AL80" s="64"/>
      <c r="AM80" s="64"/>
      <c r="AN80" s="64"/>
    </row>
    <row r="81" spans="2:40" hidden="1" outlineLevel="1" x14ac:dyDescent="0.2">
      <c r="B81" t="s">
        <v>13</v>
      </c>
      <c r="S81" s="64"/>
      <c r="T81" s="64"/>
      <c r="U81" s="64"/>
      <c r="V81" s="64"/>
      <c r="W81" s="64"/>
      <c r="X81" s="64">
        <f>+X$21</f>
        <v>53278.549992953514</v>
      </c>
      <c r="Y81" s="64">
        <f>+X81</f>
        <v>53278.549992953514</v>
      </c>
      <c r="Z81" s="64">
        <f t="shared" si="43"/>
        <v>53278.549992953514</v>
      </c>
      <c r="AA81" s="64">
        <f t="shared" si="43"/>
        <v>53278.549992953514</v>
      </c>
      <c r="AB81" s="64">
        <f t="shared" si="43"/>
        <v>53278.549992953514</v>
      </c>
      <c r="AC81" s="64">
        <f t="shared" si="43"/>
        <v>53278.549992953514</v>
      </c>
      <c r="AD81" s="64"/>
      <c r="AE81" s="64"/>
      <c r="AF81" s="64"/>
      <c r="AG81" s="64"/>
      <c r="AH81" s="64"/>
      <c r="AI81" s="64"/>
      <c r="AJ81" s="64"/>
      <c r="AK81" s="64"/>
      <c r="AL81" s="64"/>
      <c r="AM81" s="64"/>
      <c r="AN81" s="64"/>
    </row>
    <row r="82" spans="2:40" hidden="1" outlineLevel="1" x14ac:dyDescent="0.2">
      <c r="B82" t="s">
        <v>14</v>
      </c>
      <c r="S82" s="64"/>
      <c r="T82" s="64"/>
      <c r="U82" s="64"/>
      <c r="V82" s="64"/>
      <c r="W82" s="64"/>
      <c r="X82" s="64"/>
      <c r="Y82" s="64">
        <f>+Y$21</f>
        <v>60508.418193513346</v>
      </c>
      <c r="Z82" s="64">
        <f>+Y82</f>
        <v>60508.418193513346</v>
      </c>
      <c r="AA82" s="64">
        <f t="shared" si="43"/>
        <v>60508.418193513346</v>
      </c>
      <c r="AB82" s="64">
        <f t="shared" si="43"/>
        <v>60508.418193513346</v>
      </c>
      <c r="AC82" s="64">
        <f t="shared" si="43"/>
        <v>60508.418193513346</v>
      </c>
      <c r="AD82" s="64"/>
      <c r="AE82" s="64"/>
      <c r="AF82" s="64"/>
      <c r="AG82" s="64"/>
      <c r="AH82" s="64"/>
      <c r="AI82" s="64"/>
      <c r="AJ82" s="64"/>
      <c r="AK82" s="64"/>
      <c r="AL82" s="64"/>
      <c r="AM82" s="64"/>
      <c r="AN82" s="64"/>
    </row>
    <row r="83" spans="2:40" hidden="1" outlineLevel="1" x14ac:dyDescent="0.2">
      <c r="B83" t="s">
        <v>15</v>
      </c>
      <c r="S83" s="64"/>
      <c r="T83" s="64"/>
      <c r="U83" s="64"/>
      <c r="V83" s="64"/>
      <c r="W83" s="64"/>
      <c r="X83" s="64"/>
      <c r="Y83" s="64"/>
      <c r="Z83" s="64">
        <f>+Z$21</f>
        <v>68343.779910062061</v>
      </c>
      <c r="AA83" s="64">
        <f>+Z83</f>
        <v>68343.779910062061</v>
      </c>
      <c r="AB83" s="64">
        <f t="shared" si="43"/>
        <v>68343.779910062061</v>
      </c>
      <c r="AC83" s="64">
        <f t="shared" si="43"/>
        <v>68343.779910062061</v>
      </c>
      <c r="AD83" s="64"/>
      <c r="AE83" s="64"/>
      <c r="AF83" s="64"/>
      <c r="AG83" s="64"/>
      <c r="AH83" s="64"/>
      <c r="AI83" s="64"/>
      <c r="AJ83" s="64"/>
      <c r="AK83" s="64"/>
      <c r="AL83" s="64"/>
      <c r="AM83" s="64"/>
      <c r="AN83" s="64"/>
    </row>
    <row r="84" spans="2:40" hidden="1" outlineLevel="1" x14ac:dyDescent="0.2">
      <c r="B84" t="s">
        <v>325</v>
      </c>
      <c r="S84" s="64"/>
      <c r="T84" s="64"/>
      <c r="U84" s="64"/>
      <c r="V84" s="64"/>
      <c r="W84" s="64"/>
      <c r="X84" s="64"/>
      <c r="Y84" s="64"/>
      <c r="Z84" s="64"/>
      <c r="AA84" s="64">
        <f>+AA$21</f>
        <v>76787.188266528494</v>
      </c>
      <c r="AB84" s="64">
        <f>+AA84</f>
        <v>76787.188266528494</v>
      </c>
      <c r="AC84" s="64">
        <f>+AB84</f>
        <v>76787.188266528494</v>
      </c>
      <c r="AD84" s="64"/>
      <c r="AE84" s="64"/>
      <c r="AF84" s="64"/>
      <c r="AG84" s="64"/>
      <c r="AH84" s="64"/>
      <c r="AI84" s="64"/>
      <c r="AJ84" s="64"/>
      <c r="AK84" s="64"/>
      <c r="AL84" s="64"/>
      <c r="AM84" s="64"/>
      <c r="AN84" s="64"/>
    </row>
    <row r="85" spans="2:40" hidden="1" outlineLevel="1" x14ac:dyDescent="0.2">
      <c r="B85" t="s">
        <v>346</v>
      </c>
      <c r="S85" s="64"/>
      <c r="T85" s="64"/>
      <c r="U85" s="64"/>
      <c r="V85" s="64"/>
      <c r="W85" s="64"/>
      <c r="X85" s="64"/>
      <c r="Y85" s="64"/>
      <c r="Z85" s="64"/>
      <c r="AA85" s="64"/>
      <c r="AB85" s="64">
        <f>+AB$21</f>
        <v>85833.971941712167</v>
      </c>
      <c r="AC85" s="64">
        <f>+AB85</f>
        <v>85833.971941712167</v>
      </c>
      <c r="AD85" s="64"/>
      <c r="AE85" s="64"/>
      <c r="AF85" s="64"/>
      <c r="AG85" s="64"/>
      <c r="AH85" s="64"/>
      <c r="AI85" s="64"/>
      <c r="AJ85" s="64"/>
      <c r="AK85" s="64"/>
      <c r="AL85" s="64"/>
      <c r="AM85" s="64"/>
      <c r="AN85" s="64"/>
    </row>
    <row r="86" spans="2:40" hidden="1" outlineLevel="1" x14ac:dyDescent="0.2">
      <c r="B86" t="s">
        <v>426</v>
      </c>
      <c r="S86" s="64"/>
      <c r="T86" s="64"/>
      <c r="U86" s="64"/>
      <c r="V86" s="64"/>
      <c r="W86" s="64"/>
      <c r="X86" s="64"/>
      <c r="Y86" s="64"/>
      <c r="Z86" s="64"/>
      <c r="AA86" s="64"/>
      <c r="AB86" s="64"/>
      <c r="AC86" s="64">
        <f>+AC$21</f>
        <v>95471.536602452266</v>
      </c>
      <c r="AD86" s="64"/>
      <c r="AE86" s="64"/>
      <c r="AF86" s="64"/>
      <c r="AG86" s="64"/>
      <c r="AH86" s="64"/>
      <c r="AI86" s="64"/>
      <c r="AJ86" s="64"/>
      <c r="AK86" s="64"/>
      <c r="AL86" s="64"/>
      <c r="AM86" s="64"/>
      <c r="AN86" s="64"/>
    </row>
    <row r="87" spans="2:40" hidden="1" outlineLevel="1" x14ac:dyDescent="0.2"/>
    <row r="88" spans="2:40" hidden="1" outlineLevel="1" x14ac:dyDescent="0.2">
      <c r="B88" s="54" t="s">
        <v>388</v>
      </c>
    </row>
    <row r="89" spans="2:40" hidden="1" outlineLevel="1" x14ac:dyDescent="0.2">
      <c r="B89" t="s">
        <v>371</v>
      </c>
      <c r="E89" s="64">
        <f>+SUM($D24:E24)</f>
        <v>162</v>
      </c>
      <c r="F89" s="64">
        <f>+SUM($D24:F24)</f>
        <v>324</v>
      </c>
      <c r="G89" s="64">
        <f>+SUM($D24:G24)</f>
        <v>486</v>
      </c>
      <c r="H89" s="64">
        <f>+SUM($D24:H24)</f>
        <v>648</v>
      </c>
      <c r="I89" s="64">
        <f>+SUM($D24:I24)</f>
        <v>810</v>
      </c>
      <c r="J89" s="64">
        <f>+SUM($D24:J24)</f>
        <v>972</v>
      </c>
      <c r="K89" s="64">
        <f>+SUM($D24:K24)</f>
        <v>972</v>
      </c>
      <c r="L89" s="64">
        <f>+SUM($D24:L24)</f>
        <v>972</v>
      </c>
      <c r="M89" s="64">
        <f>+SUM($D24:M24)</f>
        <v>972</v>
      </c>
      <c r="N89" s="64">
        <f>+SUM($D24:N24)</f>
        <v>972</v>
      </c>
      <c r="O89" s="64">
        <f>+SUM($D24:O24)</f>
        <v>972</v>
      </c>
      <c r="P89" s="64">
        <f>+SUM($D24:P24)</f>
        <v>972</v>
      </c>
      <c r="Q89" s="64">
        <f>+SUM($D24:Q24)</f>
        <v>972</v>
      </c>
      <c r="R89" s="64">
        <f>+SUM($D24:R24)</f>
        <v>972</v>
      </c>
      <c r="S89" s="64">
        <f>+SUM($D24:S24)</f>
        <v>972</v>
      </c>
      <c r="T89" s="64">
        <f>+SUM($D24:T24)</f>
        <v>972</v>
      </c>
      <c r="U89" s="64">
        <f>+SUM($D24:U24)</f>
        <v>972</v>
      </c>
      <c r="V89" s="64">
        <f>+SUM($D24:V24)</f>
        <v>972</v>
      </c>
      <c r="W89" s="64">
        <f>+SUM($D24:W24)</f>
        <v>972</v>
      </c>
      <c r="X89" s="64">
        <f>+SUM($D24:X24)</f>
        <v>972</v>
      </c>
      <c r="Y89" s="64">
        <f>+SUM($D24:Y24)</f>
        <v>972</v>
      </c>
      <c r="Z89" s="64">
        <f>+SUM($D24:Z24)</f>
        <v>972</v>
      </c>
      <c r="AA89" s="64">
        <f>+SUM($D24:AA24)</f>
        <v>972</v>
      </c>
      <c r="AB89" s="64">
        <f>+SUM($D24:AB24)</f>
        <v>972</v>
      </c>
      <c r="AC89" s="64">
        <f>+SUM($D24:AC24)</f>
        <v>972</v>
      </c>
    </row>
    <row r="90" spans="2:40" hidden="1" outlineLevel="1" x14ac:dyDescent="0.2">
      <c r="B90" t="s">
        <v>106</v>
      </c>
      <c r="F90" s="64">
        <f>+SUM($D25:F25)</f>
        <v>205.16666666666666</v>
      </c>
      <c r="G90" s="64">
        <f>+SUM($D25:G25)</f>
        <v>410.33333333333331</v>
      </c>
      <c r="H90" s="64">
        <f>+SUM($D25:H25)</f>
        <v>615.5</v>
      </c>
      <c r="I90" s="64">
        <f>+SUM($D25:I25)</f>
        <v>820.66666666666663</v>
      </c>
      <c r="J90" s="64">
        <f>+SUM($D25:J25)</f>
        <v>1025.8333333333333</v>
      </c>
      <c r="K90" s="64">
        <f>+SUM($D25:K25)</f>
        <v>1231</v>
      </c>
      <c r="L90" s="64">
        <f>+SUM($D25:L25)</f>
        <v>1231</v>
      </c>
      <c r="M90" s="64">
        <f>+SUM($D25:M25)</f>
        <v>1231</v>
      </c>
      <c r="N90" s="64">
        <f>+SUM($D25:N25)</f>
        <v>1231</v>
      </c>
      <c r="O90" s="64">
        <f>+SUM($D25:O25)</f>
        <v>1231</v>
      </c>
      <c r="P90" s="64">
        <f>+SUM($D25:P25)</f>
        <v>1231</v>
      </c>
      <c r="Q90" s="64">
        <f>+SUM($D25:Q25)</f>
        <v>1231</v>
      </c>
      <c r="R90" s="64">
        <f>+SUM($D25:R25)</f>
        <v>1231</v>
      </c>
      <c r="S90" s="64">
        <f>+SUM($D25:S25)</f>
        <v>1231</v>
      </c>
      <c r="T90" s="64">
        <f>+SUM($D25:T25)</f>
        <v>1231</v>
      </c>
      <c r="U90" s="64">
        <f>+SUM($D25:U25)</f>
        <v>1231</v>
      </c>
      <c r="V90" s="64">
        <f>+SUM($D25:V25)</f>
        <v>1231</v>
      </c>
      <c r="W90" s="64">
        <f>+SUM($D25:W25)</f>
        <v>1231</v>
      </c>
      <c r="X90" s="64">
        <f>+SUM($D25:X25)</f>
        <v>1231</v>
      </c>
      <c r="Y90" s="64">
        <f>+SUM($D25:Y25)</f>
        <v>1231</v>
      </c>
      <c r="Z90" s="64">
        <f>+SUM($D25:Z25)</f>
        <v>1231</v>
      </c>
      <c r="AA90" s="64">
        <f>+SUM($D25:AA25)</f>
        <v>1231</v>
      </c>
      <c r="AB90" s="64">
        <f>+SUM($D25:AB25)</f>
        <v>1231</v>
      </c>
      <c r="AC90" s="64">
        <f>+SUM($D25:AC25)</f>
        <v>1231</v>
      </c>
    </row>
    <row r="91" spans="2:40" hidden="1" outlineLevel="1" x14ac:dyDescent="0.2">
      <c r="B91" t="s">
        <v>107</v>
      </c>
      <c r="G91" s="64">
        <f>+SUM($D26:G26)</f>
        <v>156</v>
      </c>
      <c r="H91" s="64">
        <f>+SUM($D26:H26)</f>
        <v>312</v>
      </c>
      <c r="I91" s="64">
        <f>+SUM($D26:I26)</f>
        <v>468</v>
      </c>
      <c r="J91" s="64">
        <f>+SUM($D26:J26)</f>
        <v>624</v>
      </c>
      <c r="K91" s="64">
        <f>+SUM($D26:K26)</f>
        <v>780</v>
      </c>
      <c r="L91" s="64">
        <f>+SUM($D26:L26)</f>
        <v>936</v>
      </c>
      <c r="M91" s="64">
        <f>+SUM($D26:M26)</f>
        <v>936</v>
      </c>
      <c r="N91" s="64">
        <f>+SUM($D26:N26)</f>
        <v>936</v>
      </c>
      <c r="O91" s="64">
        <f>+SUM($D26:O26)</f>
        <v>936</v>
      </c>
      <c r="P91" s="64">
        <f>+SUM($D26:P26)</f>
        <v>936</v>
      </c>
      <c r="Q91" s="64">
        <f>+SUM($D26:Q26)</f>
        <v>936</v>
      </c>
      <c r="R91" s="64">
        <f>+SUM($D26:R26)</f>
        <v>936</v>
      </c>
      <c r="S91" s="64">
        <f>+SUM($D26:S26)</f>
        <v>936</v>
      </c>
      <c r="T91" s="64">
        <f>+SUM($D26:T26)</f>
        <v>936</v>
      </c>
      <c r="U91" s="64">
        <f>+SUM($D26:U26)</f>
        <v>936</v>
      </c>
      <c r="V91" s="64">
        <f>+SUM($D26:V26)</f>
        <v>936</v>
      </c>
      <c r="W91" s="64">
        <f>+SUM($D26:W26)</f>
        <v>936</v>
      </c>
      <c r="X91" s="64">
        <f>+SUM($D26:X26)</f>
        <v>936</v>
      </c>
      <c r="Y91" s="64">
        <f>+SUM($D26:Y26)</f>
        <v>936</v>
      </c>
      <c r="Z91" s="64">
        <f>+SUM($D26:Z26)</f>
        <v>936</v>
      </c>
      <c r="AA91" s="64">
        <f>+SUM($D26:AA26)</f>
        <v>936</v>
      </c>
      <c r="AB91" s="64">
        <f>+SUM($D26:AB26)</f>
        <v>936</v>
      </c>
      <c r="AC91" s="64">
        <f>+SUM($D26:AC26)</f>
        <v>936</v>
      </c>
    </row>
    <row r="92" spans="2:40" hidden="1" outlineLevel="1" x14ac:dyDescent="0.2">
      <c r="B92" t="s">
        <v>0</v>
      </c>
      <c r="H92" s="64">
        <f>+SUM($D27:H27)</f>
        <v>213.5</v>
      </c>
      <c r="I92" s="64">
        <f>+SUM($D27:I27)</f>
        <v>427</v>
      </c>
      <c r="J92" s="64">
        <f>+SUM($D27:J27)</f>
        <v>640.5</v>
      </c>
      <c r="K92" s="64">
        <f>+SUM($D27:K27)</f>
        <v>854</v>
      </c>
      <c r="L92" s="64">
        <f>+SUM($D27:L27)</f>
        <v>1067.5</v>
      </c>
      <c r="M92" s="64">
        <f>+SUM($D27:M27)</f>
        <v>1281</v>
      </c>
      <c r="N92" s="64">
        <f>+SUM($D27:N27)</f>
        <v>1281</v>
      </c>
      <c r="O92" s="64">
        <f>+SUM($D27:O27)</f>
        <v>1281</v>
      </c>
      <c r="P92" s="64">
        <f>+SUM($D27:P27)</f>
        <v>1281</v>
      </c>
      <c r="Q92" s="64">
        <f>+SUM($D27:Q27)</f>
        <v>1281</v>
      </c>
      <c r="R92" s="64">
        <f>+SUM($D27:R27)</f>
        <v>1281</v>
      </c>
      <c r="S92" s="64">
        <f>+SUM($D27:S27)</f>
        <v>1281</v>
      </c>
      <c r="T92" s="64">
        <f>+SUM($D27:T27)</f>
        <v>1281</v>
      </c>
      <c r="U92" s="64">
        <f>+SUM($D27:U27)</f>
        <v>1281</v>
      </c>
      <c r="V92" s="64">
        <f>+SUM($D27:V27)</f>
        <v>1281</v>
      </c>
      <c r="W92" s="64">
        <f>+SUM($D27:W27)</f>
        <v>1281</v>
      </c>
      <c r="X92" s="64">
        <f>+SUM($D27:X27)</f>
        <v>1281</v>
      </c>
      <c r="Y92" s="64">
        <f>+SUM($D27:Y27)</f>
        <v>1281</v>
      </c>
      <c r="Z92" s="64">
        <f>+SUM($D27:Z27)</f>
        <v>1281</v>
      </c>
      <c r="AA92" s="64">
        <f>+SUM($D27:AA27)</f>
        <v>1281</v>
      </c>
      <c r="AB92" s="64">
        <f>+SUM($D27:AB27)</f>
        <v>1281</v>
      </c>
      <c r="AC92" s="64">
        <f>+SUM($D27:AC27)</f>
        <v>1281</v>
      </c>
    </row>
    <row r="93" spans="2:40" hidden="1" outlineLevel="1" x14ac:dyDescent="0.2">
      <c r="B93" t="s">
        <v>1</v>
      </c>
      <c r="I93" s="64">
        <f>+SUM($D28:I28)</f>
        <v>358.5</v>
      </c>
      <c r="J93" s="64">
        <f>+SUM($D28:J28)</f>
        <v>717</v>
      </c>
      <c r="K93" s="64">
        <f>+SUM($D28:K28)</f>
        <v>1075.5</v>
      </c>
      <c r="L93" s="64">
        <f>+SUM($D28:L28)</f>
        <v>1434</v>
      </c>
      <c r="M93" s="64">
        <f>+SUM($D28:M28)</f>
        <v>1792.5</v>
      </c>
      <c r="N93" s="64">
        <f>+SUM($D28:N28)</f>
        <v>2151</v>
      </c>
      <c r="O93" s="64">
        <f>+SUM($D28:O28)</f>
        <v>2151</v>
      </c>
      <c r="P93" s="64">
        <f>+SUM($D28:P28)</f>
        <v>2151</v>
      </c>
      <c r="Q93" s="64">
        <f>+SUM($D28:Q28)</f>
        <v>2151</v>
      </c>
      <c r="R93" s="64">
        <f>+SUM($D28:R28)</f>
        <v>2151</v>
      </c>
      <c r="S93" s="64">
        <f>+SUM($D28:S28)</f>
        <v>2151</v>
      </c>
      <c r="T93" s="64">
        <f>+SUM($D28:T28)</f>
        <v>2151</v>
      </c>
      <c r="U93" s="64">
        <f>+SUM($D28:U28)</f>
        <v>2151</v>
      </c>
      <c r="V93" s="64">
        <f>+SUM($D28:V28)</f>
        <v>2151</v>
      </c>
      <c r="W93" s="64">
        <f>+SUM($D28:W28)</f>
        <v>2151</v>
      </c>
      <c r="X93" s="64">
        <f>+SUM($D28:X28)</f>
        <v>2151</v>
      </c>
      <c r="Y93" s="64">
        <f>+SUM($D28:Y28)</f>
        <v>2151</v>
      </c>
      <c r="Z93" s="64">
        <f>+SUM($D28:Z28)</f>
        <v>2151</v>
      </c>
      <c r="AA93" s="64">
        <f>+SUM($D28:AA28)</f>
        <v>2151</v>
      </c>
      <c r="AB93" s="64">
        <f>+SUM($D28:AB28)</f>
        <v>2151</v>
      </c>
      <c r="AC93" s="64">
        <f>+SUM($D28:AC28)</f>
        <v>2151</v>
      </c>
      <c r="AD93" s="64"/>
    </row>
    <row r="94" spans="2:40" hidden="1" outlineLevel="1" x14ac:dyDescent="0.2">
      <c r="B94" t="s">
        <v>2</v>
      </c>
      <c r="J94" s="64">
        <f>+SUM($D29:J29)</f>
        <v>452.66666666666669</v>
      </c>
      <c r="K94" s="64">
        <f>+SUM($D29:K29)</f>
        <v>905.33333333333337</v>
      </c>
      <c r="L94" s="64">
        <f>+SUM($D29:L29)</f>
        <v>1358</v>
      </c>
      <c r="M94" s="64">
        <f>+SUM($D29:M29)</f>
        <v>1810.6666666666667</v>
      </c>
      <c r="N94" s="64">
        <f>+SUM($D29:N29)</f>
        <v>2263.3333333333335</v>
      </c>
      <c r="O94" s="64">
        <f>+SUM($D29:O29)</f>
        <v>2651.3333333333335</v>
      </c>
      <c r="P94" s="64">
        <f>+SUM($D29:P29)</f>
        <v>2716</v>
      </c>
      <c r="Q94" s="64">
        <f>+SUM($D29:Q29)</f>
        <v>2716</v>
      </c>
      <c r="R94" s="64">
        <f>+SUM($D29:R29)</f>
        <v>2716</v>
      </c>
      <c r="S94" s="64">
        <f>+SUM($D29:S29)</f>
        <v>2716</v>
      </c>
      <c r="T94" s="64">
        <f>+SUM($D29:T29)</f>
        <v>2716</v>
      </c>
      <c r="U94" s="64">
        <f>+SUM($D29:U29)</f>
        <v>2716</v>
      </c>
      <c r="V94" s="64">
        <f>+SUM($D29:V29)</f>
        <v>2716</v>
      </c>
      <c r="W94" s="64">
        <f>+SUM($D29:W29)</f>
        <v>2716</v>
      </c>
      <c r="X94" s="64">
        <f>+SUM($D29:X29)</f>
        <v>2716</v>
      </c>
      <c r="Y94" s="64">
        <f>+SUM($D29:Y29)</f>
        <v>2716</v>
      </c>
      <c r="Z94" s="64">
        <f>+SUM($D29:Z29)</f>
        <v>2716</v>
      </c>
      <c r="AA94" s="64">
        <f>+SUM($D29:AA29)</f>
        <v>2716</v>
      </c>
      <c r="AB94" s="64">
        <f>+SUM($D29:AB29)</f>
        <v>2716</v>
      </c>
      <c r="AC94" s="64">
        <f>+SUM($D29:AC29)</f>
        <v>2716</v>
      </c>
      <c r="AD94" s="64"/>
      <c r="AE94" s="64"/>
    </row>
    <row r="95" spans="2:40" hidden="1" outlineLevel="1" x14ac:dyDescent="0.2">
      <c r="B95" t="s">
        <v>3</v>
      </c>
      <c r="K95" s="64">
        <f>+SUM($D30:K30)</f>
        <v>905.33333333333337</v>
      </c>
      <c r="L95" s="64">
        <f>+SUM($D30:L30)</f>
        <v>1810.6666666666667</v>
      </c>
      <c r="M95" s="64">
        <f>+SUM($D30:M30)</f>
        <v>2716</v>
      </c>
      <c r="N95" s="64">
        <f>+SUM($D30:N30)</f>
        <v>3621.3333333333335</v>
      </c>
      <c r="O95" s="64">
        <f>+SUM($D30:O30)</f>
        <v>4397.3333333333339</v>
      </c>
      <c r="P95" s="64">
        <f>+SUM($D30:P30)</f>
        <v>5121.6000000000004</v>
      </c>
      <c r="Q95" s="64">
        <f>+SUM($D30:Q30)</f>
        <v>5432</v>
      </c>
      <c r="R95" s="64">
        <f>+SUM($D30:R30)</f>
        <v>5432</v>
      </c>
      <c r="S95" s="64">
        <f>+SUM($D30:S30)</f>
        <v>5432</v>
      </c>
      <c r="T95" s="64">
        <f>+SUM($D30:T30)</f>
        <v>5432</v>
      </c>
      <c r="U95" s="64">
        <f>+SUM($D30:U30)</f>
        <v>5432</v>
      </c>
      <c r="V95" s="64">
        <f>+SUM($D30:V30)</f>
        <v>5432</v>
      </c>
      <c r="W95" s="64">
        <f>+SUM($D30:W30)</f>
        <v>5432</v>
      </c>
      <c r="X95" s="64">
        <f>+SUM($D30:X30)</f>
        <v>5432</v>
      </c>
      <c r="Y95" s="64">
        <f>+SUM($D30:Y30)</f>
        <v>5432</v>
      </c>
      <c r="Z95" s="64">
        <f>+SUM($D30:Z30)</f>
        <v>5432</v>
      </c>
      <c r="AA95" s="64">
        <f>+SUM($D30:AA30)</f>
        <v>5432</v>
      </c>
      <c r="AB95" s="64">
        <f>+SUM($D30:AB30)</f>
        <v>5432</v>
      </c>
      <c r="AC95" s="64">
        <f>+SUM($D30:AC30)</f>
        <v>5432</v>
      </c>
      <c r="AD95" s="64"/>
      <c r="AE95" s="64"/>
      <c r="AF95" s="64"/>
    </row>
    <row r="96" spans="2:40" hidden="1" outlineLevel="1" x14ac:dyDescent="0.2">
      <c r="B96" t="s">
        <v>4</v>
      </c>
      <c r="L96" s="64">
        <f>+SUM($D31:L31)</f>
        <v>1500</v>
      </c>
      <c r="M96" s="64">
        <f>+SUM($D31:M31)</f>
        <v>3000</v>
      </c>
      <c r="N96" s="64">
        <f>+SUM($D31:N31)</f>
        <v>4500</v>
      </c>
      <c r="O96" s="64">
        <f>+SUM($D31:O31)</f>
        <v>5785.7142857142862</v>
      </c>
      <c r="P96" s="64">
        <f>+SUM($D31:P31)</f>
        <v>6985.7142857142862</v>
      </c>
      <c r="Q96" s="64">
        <f>+SUM($D31:Q31)</f>
        <v>8110.7142857142862</v>
      </c>
      <c r="R96" s="64">
        <f>+SUM($D31:R31)</f>
        <v>9000</v>
      </c>
      <c r="S96" s="64">
        <f>+SUM($D31:S31)</f>
        <v>9000</v>
      </c>
      <c r="T96" s="64">
        <f>+SUM($D31:T31)</f>
        <v>9000</v>
      </c>
      <c r="U96" s="64">
        <f>+SUM($D31:U31)</f>
        <v>9000</v>
      </c>
      <c r="V96" s="64">
        <f>+SUM($D31:V31)</f>
        <v>9000</v>
      </c>
      <c r="W96" s="64">
        <f>+SUM($D31:W31)</f>
        <v>9000</v>
      </c>
      <c r="X96" s="64">
        <f>+SUM($D31:X31)</f>
        <v>9000</v>
      </c>
      <c r="Y96" s="64">
        <f>+SUM($D31:Y31)</f>
        <v>9000</v>
      </c>
      <c r="Z96" s="64">
        <f>+SUM($D31:Z31)</f>
        <v>9000</v>
      </c>
      <c r="AA96" s="64">
        <f>+SUM($D31:AA31)</f>
        <v>9000</v>
      </c>
      <c r="AB96" s="64">
        <f>+SUM($D31:AB31)</f>
        <v>9000</v>
      </c>
      <c r="AC96" s="64">
        <f>+SUM($D31:AC31)</f>
        <v>9000</v>
      </c>
      <c r="AD96" s="64"/>
      <c r="AE96" s="64"/>
      <c r="AF96" s="64"/>
      <c r="AG96" s="64"/>
    </row>
    <row r="97" spans="2:40" hidden="1" outlineLevel="1" x14ac:dyDescent="0.2">
      <c r="B97" t="s">
        <v>5</v>
      </c>
      <c r="M97" s="64">
        <f>+SUM($D32:M32)</f>
        <v>1923.6666666666667</v>
      </c>
      <c r="N97" s="64">
        <f>+SUM($D32:N32)</f>
        <v>3847.3333333333335</v>
      </c>
      <c r="O97" s="64">
        <f>+SUM($D32:O32)</f>
        <v>5496.1904761904761</v>
      </c>
      <c r="P97" s="64">
        <f>+SUM($D32:P32)</f>
        <v>7035.1238095238095</v>
      </c>
      <c r="Q97" s="64">
        <f>+SUM($D32:Q32)</f>
        <v>8477.8738095238095</v>
      </c>
      <c r="R97" s="64">
        <f>+SUM($D32:R32)</f>
        <v>9920.6238095238095</v>
      </c>
      <c r="S97" s="64">
        <f>+SUM($D32:S32)</f>
        <v>11363.37380952381</v>
      </c>
      <c r="T97" s="64">
        <f>+SUM($D32:T32)</f>
        <v>11542</v>
      </c>
      <c r="U97" s="64">
        <f>+SUM($D32:U32)</f>
        <v>11542</v>
      </c>
      <c r="V97" s="64">
        <f>+SUM($D32:V32)</f>
        <v>11542</v>
      </c>
      <c r="W97" s="64">
        <f>+SUM($D32:W32)</f>
        <v>11542</v>
      </c>
      <c r="X97" s="64">
        <f>+SUM($D32:X32)</f>
        <v>11542</v>
      </c>
      <c r="Y97" s="64">
        <f>+SUM($D32:Y32)</f>
        <v>11542</v>
      </c>
      <c r="Z97" s="64">
        <f>+SUM($D32:Z32)</f>
        <v>11542</v>
      </c>
      <c r="AA97" s="64">
        <f>+SUM($D32:AA32)</f>
        <v>11542</v>
      </c>
      <c r="AB97" s="64">
        <f>+SUM($D32:AB32)</f>
        <v>11542</v>
      </c>
      <c r="AC97" s="64">
        <f>+SUM($D32:AC32)</f>
        <v>11542</v>
      </c>
      <c r="AD97" s="64"/>
      <c r="AE97" s="64"/>
      <c r="AF97" s="64"/>
      <c r="AG97" s="64"/>
      <c r="AH97" s="64"/>
    </row>
    <row r="98" spans="2:40" hidden="1" outlineLevel="1" x14ac:dyDescent="0.2">
      <c r="B98" t="s">
        <v>6</v>
      </c>
      <c r="N98" s="64">
        <f>+SUM($D33:N33)</f>
        <v>2312.6666666666665</v>
      </c>
      <c r="O98" s="64">
        <f>+SUM($D33:O33)</f>
        <v>4294.9523809523807</v>
      </c>
      <c r="P98" s="64">
        <f>+SUM($D33:P33)</f>
        <v>6145.0857142857139</v>
      </c>
      <c r="Q98" s="64">
        <f>+SUM($D33:Q33)</f>
        <v>7879.5857142857139</v>
      </c>
      <c r="R98" s="64">
        <f>+SUM($D33:R33)</f>
        <v>9614.085714285713</v>
      </c>
      <c r="S98" s="64">
        <f>+SUM($D33:S33)</f>
        <v>11348.585714285713</v>
      </c>
      <c r="T98" s="64">
        <f>+SUM($D33:T33)</f>
        <v>13083.085714285713</v>
      </c>
      <c r="U98" s="64">
        <f>+SUM($D33:U33)</f>
        <v>13876</v>
      </c>
      <c r="V98" s="64">
        <f>+SUM($D33:V33)</f>
        <v>13876</v>
      </c>
      <c r="W98" s="64">
        <f>+SUM($D33:W33)</f>
        <v>13876</v>
      </c>
      <c r="X98" s="64">
        <f>+SUM($D33:X33)</f>
        <v>13876</v>
      </c>
      <c r="Y98" s="64">
        <f>+SUM($D33:Y33)</f>
        <v>13876</v>
      </c>
      <c r="Z98" s="64">
        <f>+SUM($D33:Z33)</f>
        <v>13876</v>
      </c>
      <c r="AA98" s="64">
        <f>+SUM($D33:AA33)</f>
        <v>13876</v>
      </c>
      <c r="AB98" s="64">
        <f>+SUM($D33:AB33)</f>
        <v>13876</v>
      </c>
      <c r="AC98" s="64">
        <f>+SUM($D33:AC33)</f>
        <v>13876</v>
      </c>
      <c r="AD98" s="64"/>
      <c r="AE98" s="64"/>
      <c r="AF98" s="64"/>
      <c r="AG98" s="64"/>
      <c r="AH98" s="64"/>
      <c r="AI98" s="64"/>
    </row>
    <row r="99" spans="2:40" hidden="1" outlineLevel="1" x14ac:dyDescent="0.2">
      <c r="B99" t="s">
        <v>321</v>
      </c>
      <c r="O99" s="64">
        <f>+SUM($D34:O34)</f>
        <v>1919.8571428571429</v>
      </c>
      <c r="P99" s="64">
        <f>+SUM($D34:P34)</f>
        <v>3711.7238095238095</v>
      </c>
      <c r="Q99" s="64">
        <f>+SUM($D34:Q34)</f>
        <v>5391.5988095238099</v>
      </c>
      <c r="R99" s="64">
        <f>+SUM($D34:R34)</f>
        <v>7071.4738095238099</v>
      </c>
      <c r="S99" s="64">
        <f>+SUM($D34:S34)</f>
        <v>8751.3488095238099</v>
      </c>
      <c r="T99" s="64">
        <f>+SUM($D34:T34)</f>
        <v>10431.22380952381</v>
      </c>
      <c r="U99" s="64">
        <f>+SUM($D34:U34)</f>
        <v>12111.09880952381</v>
      </c>
      <c r="V99" s="64">
        <f>+SUM($D34:V34)</f>
        <v>13439</v>
      </c>
      <c r="W99" s="64">
        <f>+SUM($D34:W34)</f>
        <v>13439</v>
      </c>
      <c r="X99" s="64">
        <f>+SUM($D34:X34)</f>
        <v>13439</v>
      </c>
      <c r="Y99" s="64">
        <f>+SUM($D34:Y34)</f>
        <v>13439</v>
      </c>
      <c r="Z99" s="64">
        <f>+SUM($D34:Z34)</f>
        <v>13439</v>
      </c>
      <c r="AA99" s="64">
        <f>+SUM($D34:AA34)</f>
        <v>13439</v>
      </c>
      <c r="AB99" s="64">
        <f>+SUM($D34:AB34)</f>
        <v>13439</v>
      </c>
      <c r="AC99" s="64">
        <f>+SUM($D34:AC34)</f>
        <v>13439</v>
      </c>
      <c r="AD99" s="64"/>
      <c r="AE99" s="64"/>
      <c r="AF99" s="64"/>
      <c r="AG99" s="64"/>
      <c r="AH99" s="64"/>
      <c r="AI99" s="64"/>
      <c r="AJ99" s="64"/>
    </row>
    <row r="100" spans="2:40" hidden="1" outlineLevel="1" x14ac:dyDescent="0.2">
      <c r="B100" t="s">
        <v>306</v>
      </c>
      <c r="P100" s="64">
        <f>+SUM($D35:P35)</f>
        <v>2165.1999999999998</v>
      </c>
      <c r="Q100" s="64">
        <f>+SUM($D35:Q35)</f>
        <v>4195.0749999999998</v>
      </c>
      <c r="R100" s="64">
        <f>+SUM($D35:R35)</f>
        <v>6224.95</v>
      </c>
      <c r="S100" s="64">
        <f>+SUM($D35:S35)</f>
        <v>8254.8250000000007</v>
      </c>
      <c r="T100" s="64">
        <f>+SUM($D35:T35)</f>
        <v>10284.700000000001</v>
      </c>
      <c r="U100" s="64">
        <f>+SUM($D35:U35)</f>
        <v>12314.575000000001</v>
      </c>
      <c r="V100" s="64">
        <f>+SUM($D35:V35)</f>
        <v>14344.45</v>
      </c>
      <c r="W100" s="64">
        <f>+SUM($D35:W35)</f>
        <v>16239</v>
      </c>
      <c r="X100" s="64">
        <f>+SUM($D35:X35)</f>
        <v>16239</v>
      </c>
      <c r="Y100" s="64">
        <f>+SUM($D35:Y35)</f>
        <v>16239</v>
      </c>
      <c r="Z100" s="64">
        <f>+SUM($D35:Z35)</f>
        <v>16239</v>
      </c>
      <c r="AA100" s="64">
        <f>+SUM($D35:AA35)</f>
        <v>16239</v>
      </c>
      <c r="AB100" s="64">
        <f>+SUM($D35:AB35)</f>
        <v>16239</v>
      </c>
      <c r="AC100" s="64">
        <f>+SUM($D35:AC35)</f>
        <v>16239</v>
      </c>
      <c r="AD100" s="64"/>
      <c r="AE100" s="64"/>
      <c r="AF100" s="64"/>
      <c r="AG100" s="64"/>
      <c r="AH100" s="64"/>
      <c r="AI100" s="64"/>
      <c r="AJ100" s="64"/>
      <c r="AK100" s="64"/>
    </row>
    <row r="101" spans="2:40" hidden="1" outlineLevel="1" x14ac:dyDescent="0.2">
      <c r="B101" t="s">
        <v>357</v>
      </c>
      <c r="Q101" s="64">
        <f>+SUM($D36:Q36)</f>
        <v>3251.375</v>
      </c>
      <c r="R101" s="64">
        <f>+SUM($D36:R36)</f>
        <v>6502.75</v>
      </c>
      <c r="S101" s="64">
        <f>+SUM($D36:S36)</f>
        <v>9754.125</v>
      </c>
      <c r="T101" s="64">
        <f>+SUM($D36:T36)</f>
        <v>13005.5</v>
      </c>
      <c r="U101" s="64">
        <f>+SUM($D36:U36)</f>
        <v>16256.875</v>
      </c>
      <c r="V101" s="64">
        <f>+SUM($D36:V36)</f>
        <v>19508.25</v>
      </c>
      <c r="W101" s="64">
        <f>+SUM($D36:W36)</f>
        <v>22759.625</v>
      </c>
      <c r="X101" s="64">
        <f>+SUM($D36:X36)</f>
        <v>26011</v>
      </c>
      <c r="Y101" s="64">
        <f>+SUM($D36:Y36)</f>
        <v>26011</v>
      </c>
      <c r="Z101" s="64">
        <f>+SUM($D36:Z36)</f>
        <v>26011</v>
      </c>
      <c r="AA101" s="64">
        <f>+SUM($D36:AA36)</f>
        <v>26011</v>
      </c>
      <c r="AB101" s="64">
        <f>+SUM($D36:AB36)</f>
        <v>26011</v>
      </c>
      <c r="AC101" s="64">
        <f>+SUM($D36:AC36)</f>
        <v>26011</v>
      </c>
      <c r="AD101" s="64"/>
      <c r="AE101" s="64"/>
      <c r="AF101" s="64"/>
      <c r="AG101" s="64"/>
      <c r="AH101" s="64"/>
      <c r="AI101" s="64"/>
      <c r="AJ101" s="64"/>
      <c r="AK101" s="64"/>
      <c r="AL101" s="64"/>
    </row>
    <row r="102" spans="2:40" hidden="1" outlineLevel="1" x14ac:dyDescent="0.2">
      <c r="B102" t="s">
        <v>7</v>
      </c>
      <c r="R102" s="64">
        <f>+SUM($D37:R37)</f>
        <v>4272.1290894047615</v>
      </c>
      <c r="S102" s="64">
        <f>+SUM($D37:S37)</f>
        <v>8544.2581788095231</v>
      </c>
      <c r="T102" s="64">
        <f>+SUM($D37:T37)</f>
        <v>12816.387268214285</v>
      </c>
      <c r="U102" s="64">
        <f>+SUM($D37:U37)</f>
        <v>17088.516357619046</v>
      </c>
      <c r="V102" s="64">
        <f>+SUM($D37:V37)</f>
        <v>21360.64544702381</v>
      </c>
      <c r="W102" s="64">
        <f>+SUM($D37:W37)</f>
        <v>25632.774536428573</v>
      </c>
      <c r="X102" s="64">
        <f>+SUM($D37:X37)</f>
        <v>29904.903625833336</v>
      </c>
      <c r="Y102" s="64">
        <f>+SUM($D37:Y37)</f>
        <v>34177.032715238092</v>
      </c>
      <c r="Z102" s="64">
        <f>+SUM($D37:Z37)</f>
        <v>34177.032715238092</v>
      </c>
      <c r="AA102" s="64">
        <f>+SUM($D37:AA37)</f>
        <v>34177.032715238092</v>
      </c>
      <c r="AB102" s="64">
        <f>+SUM($D37:AB37)</f>
        <v>34177.032715238092</v>
      </c>
      <c r="AC102" s="64">
        <f>+SUM($D37:AC37)</f>
        <v>34177.032715238092</v>
      </c>
      <c r="AD102" s="64"/>
      <c r="AE102" s="64"/>
      <c r="AF102" s="64"/>
      <c r="AG102" s="64"/>
      <c r="AH102" s="64"/>
      <c r="AI102" s="64"/>
      <c r="AJ102" s="64"/>
      <c r="AK102" s="64"/>
      <c r="AL102" s="64"/>
      <c r="AM102" s="64"/>
    </row>
    <row r="103" spans="2:40" hidden="1" outlineLevel="1" x14ac:dyDescent="0.2">
      <c r="B103" t="s">
        <v>8</v>
      </c>
      <c r="S103" s="64">
        <f>+SUM($D38:S38)</f>
        <v>4889.0880438617496</v>
      </c>
      <c r="T103" s="64">
        <f>+SUM($D38:T38)</f>
        <v>9778.1760877234992</v>
      </c>
      <c r="U103" s="64">
        <f>+SUM($D38:U38)</f>
        <v>14667.264131585249</v>
      </c>
      <c r="V103" s="64">
        <f>+SUM($D38:V38)</f>
        <v>19556.352175446998</v>
      </c>
      <c r="W103" s="64">
        <f>+SUM($D38:W38)</f>
        <v>24445.440219308748</v>
      </c>
      <c r="X103" s="64">
        <f>+SUM($D38:X38)</f>
        <v>29334.528263170498</v>
      </c>
      <c r="Y103" s="64">
        <f>+SUM($D38:Y38)</f>
        <v>34223.616307032251</v>
      </c>
      <c r="Z103" s="64">
        <f>+SUM($D38:Z38)</f>
        <v>39112.704350893997</v>
      </c>
      <c r="AA103" s="64">
        <f>+SUM($D38:AA38)</f>
        <v>39112.704350893997</v>
      </c>
      <c r="AB103" s="64">
        <f>+SUM($D38:AB38)</f>
        <v>39112.704350893997</v>
      </c>
      <c r="AC103" s="64">
        <f>+SUM($D38:AC38)</f>
        <v>39112.704350893997</v>
      </c>
      <c r="AD103" s="64"/>
      <c r="AE103" s="64"/>
      <c r="AF103" s="64"/>
      <c r="AG103" s="64"/>
      <c r="AH103" s="64"/>
      <c r="AI103" s="64"/>
      <c r="AJ103" s="64"/>
      <c r="AK103" s="64"/>
      <c r="AL103" s="64"/>
      <c r="AM103" s="64"/>
      <c r="AN103" s="64"/>
    </row>
    <row r="104" spans="2:40" hidden="1" outlineLevel="1" x14ac:dyDescent="0.2">
      <c r="B104" t="s">
        <v>9</v>
      </c>
      <c r="S104" s="64"/>
      <c r="T104" s="64">
        <f>+SUM($D39:T39)</f>
        <v>4816.2093818467783</v>
      </c>
      <c r="U104" s="64">
        <f>+SUM($D39:U39)</f>
        <v>9632.4187636935567</v>
      </c>
      <c r="V104" s="64">
        <f>+SUM($D39:V39)</f>
        <v>14448.628145540335</v>
      </c>
      <c r="W104" s="64">
        <f>+SUM($D39:W39)</f>
        <v>19264.837527387113</v>
      </c>
      <c r="X104" s="64">
        <f>+SUM($D39:X39)</f>
        <v>24081.04690923389</v>
      </c>
      <c r="Y104" s="64">
        <f>+SUM($D39:Y39)</f>
        <v>28897.256291080666</v>
      </c>
      <c r="Z104" s="64">
        <f>+SUM($D39:Z39)</f>
        <v>33713.465672927443</v>
      </c>
      <c r="AA104" s="64">
        <f>+SUM($D39:AA39)</f>
        <v>38529.675054774219</v>
      </c>
      <c r="AB104" s="64">
        <f>+SUM($D39:AB39)</f>
        <v>38529.675054774219</v>
      </c>
      <c r="AC104" s="64">
        <f>+SUM($D39:AC39)</f>
        <v>38529.675054774219</v>
      </c>
      <c r="AD104" s="64"/>
      <c r="AE104" s="64"/>
      <c r="AF104" s="64"/>
      <c r="AG104" s="64"/>
      <c r="AH104" s="64"/>
      <c r="AI104" s="64"/>
      <c r="AJ104" s="64"/>
      <c r="AK104" s="64"/>
      <c r="AL104" s="64"/>
      <c r="AM104" s="64"/>
      <c r="AN104" s="64"/>
    </row>
    <row r="105" spans="2:40" hidden="1" outlineLevel="1" x14ac:dyDescent="0.2">
      <c r="B105" t="s">
        <v>10</v>
      </c>
      <c r="S105" s="64"/>
      <c r="T105" s="64"/>
      <c r="U105" s="64">
        <f>+SUM($D40:U40)</f>
        <v>5363.1493661078794</v>
      </c>
      <c r="V105" s="64">
        <f>+SUM($D40:V40)</f>
        <v>10726.298732215759</v>
      </c>
      <c r="W105" s="64">
        <f>+SUM($D40:W40)</f>
        <v>16089.448098323639</v>
      </c>
      <c r="X105" s="64">
        <f>+SUM($D40:X40)</f>
        <v>21452.597464431517</v>
      </c>
      <c r="Y105" s="64">
        <f>+SUM($D40:Y40)</f>
        <v>26815.746830539396</v>
      </c>
      <c r="Z105" s="64">
        <f>+SUM($D40:Z40)</f>
        <v>32178.896196647274</v>
      </c>
      <c r="AA105" s="64">
        <f>+SUM($D40:AA40)</f>
        <v>37542.045562755156</v>
      </c>
      <c r="AB105" s="64">
        <f>+SUM($D40:AB40)</f>
        <v>42905.194928863035</v>
      </c>
      <c r="AC105" s="64">
        <f>+SUM($D40:AC40)</f>
        <v>42905.194928863035</v>
      </c>
      <c r="AD105" s="64"/>
      <c r="AE105" s="64"/>
      <c r="AF105" s="64"/>
      <c r="AG105" s="64"/>
      <c r="AH105" s="64"/>
      <c r="AI105" s="64"/>
      <c r="AJ105" s="64"/>
      <c r="AK105" s="64"/>
      <c r="AL105" s="64"/>
      <c r="AM105" s="64"/>
      <c r="AN105" s="64"/>
    </row>
    <row r="106" spans="2:40" hidden="1" outlineLevel="1" x14ac:dyDescent="0.2">
      <c r="B106" t="s">
        <v>11</v>
      </c>
      <c r="S106" s="64"/>
      <c r="T106" s="64"/>
      <c r="U106" s="64"/>
      <c r="V106" s="64">
        <f>+SUM($D41:V41)</f>
        <v>5637.9953927871902</v>
      </c>
      <c r="W106" s="64">
        <f>+SUM($D41:W41)</f>
        <v>11275.99078557438</v>
      </c>
      <c r="X106" s="64">
        <f>+SUM($D41:X41)</f>
        <v>16913.986178361571</v>
      </c>
      <c r="Y106" s="64">
        <f>+SUM($D41:Y41)</f>
        <v>22551.981571148761</v>
      </c>
      <c r="Z106" s="64">
        <f>+SUM($D41:Z41)</f>
        <v>28189.976963935951</v>
      </c>
      <c r="AA106" s="64">
        <f>+SUM($D41:AA41)</f>
        <v>33827.972356723141</v>
      </c>
      <c r="AB106" s="64">
        <f>+SUM($D41:AB41)</f>
        <v>39465.967749510331</v>
      </c>
      <c r="AC106" s="64">
        <f>+SUM($D41:AC41)</f>
        <v>45103.963142297522</v>
      </c>
      <c r="AD106" s="64"/>
      <c r="AE106" s="64"/>
      <c r="AF106" s="64"/>
      <c r="AG106" s="64"/>
      <c r="AH106" s="64"/>
      <c r="AI106" s="64"/>
      <c r="AJ106" s="64"/>
      <c r="AK106" s="64"/>
      <c r="AL106" s="64"/>
      <c r="AM106" s="64"/>
      <c r="AN106" s="64"/>
    </row>
    <row r="107" spans="2:40" hidden="1" outlineLevel="1" x14ac:dyDescent="0.2">
      <c r="B107" t="s">
        <v>12</v>
      </c>
      <c r="S107" s="64"/>
      <c r="T107" s="64"/>
      <c r="U107" s="64"/>
      <c r="V107" s="64"/>
      <c r="W107" s="64">
        <f>+SUM($D42:W42)</f>
        <v>5830.6448854104892</v>
      </c>
      <c r="X107" s="64">
        <f>+SUM($D42:X42)</f>
        <v>11661.289770820978</v>
      </c>
      <c r="Y107" s="64">
        <f>+SUM($D42:Y42)</f>
        <v>17491.934656231468</v>
      </c>
      <c r="Z107" s="64">
        <f>+SUM($D42:Z42)</f>
        <v>23322.579541641957</v>
      </c>
      <c r="AA107" s="64">
        <f>+SUM($D42:AA42)</f>
        <v>29153.224427052446</v>
      </c>
      <c r="AB107" s="64">
        <f>+SUM($D42:AB42)</f>
        <v>34983.869312462935</v>
      </c>
      <c r="AC107" s="64">
        <f>+SUM($D42:AC42)</f>
        <v>40814.514197873425</v>
      </c>
      <c r="AD107" s="64"/>
      <c r="AE107" s="64"/>
      <c r="AF107" s="64"/>
      <c r="AG107" s="64"/>
      <c r="AH107" s="64"/>
      <c r="AI107" s="64"/>
      <c r="AJ107" s="64"/>
      <c r="AK107" s="64"/>
      <c r="AL107" s="64"/>
      <c r="AM107" s="64"/>
      <c r="AN107" s="64"/>
    </row>
    <row r="108" spans="2:40" hidden="1" outlineLevel="1" x14ac:dyDescent="0.2">
      <c r="B108" t="s">
        <v>13</v>
      </c>
      <c r="S108" s="64"/>
      <c r="T108" s="64"/>
      <c r="U108" s="64"/>
      <c r="V108" s="64"/>
      <c r="W108" s="64"/>
      <c r="X108" s="64">
        <f>+SUM($D43:X43)</f>
        <v>6659.8187491191893</v>
      </c>
      <c r="Y108" s="64">
        <f>+SUM($D43:Y43)</f>
        <v>13319.637498238379</v>
      </c>
      <c r="Z108" s="64">
        <f>+SUM($D43:Z43)</f>
        <v>19979.456247357568</v>
      </c>
      <c r="AA108" s="64">
        <f>+SUM($D43:AA43)</f>
        <v>26639.274996476757</v>
      </c>
      <c r="AB108" s="64">
        <f>+SUM($D43:AB43)</f>
        <v>33299.09374559595</v>
      </c>
      <c r="AC108" s="64">
        <f>+SUM($D43:AC43)</f>
        <v>39958.912494715143</v>
      </c>
      <c r="AD108" s="64"/>
      <c r="AE108" s="64"/>
      <c r="AF108" s="64"/>
      <c r="AG108" s="64"/>
      <c r="AH108" s="64"/>
      <c r="AI108" s="64"/>
      <c r="AJ108" s="64"/>
      <c r="AK108" s="64"/>
      <c r="AL108" s="64"/>
      <c r="AM108" s="64"/>
      <c r="AN108" s="64"/>
    </row>
    <row r="109" spans="2:40" hidden="1" outlineLevel="1" x14ac:dyDescent="0.2">
      <c r="B109" t="s">
        <v>14</v>
      </c>
      <c r="S109" s="64"/>
      <c r="T109" s="64"/>
      <c r="U109" s="64"/>
      <c r="V109" s="64"/>
      <c r="W109" s="64"/>
      <c r="X109" s="64"/>
      <c r="Y109" s="64">
        <f>+SUM($D44:Y44)</f>
        <v>7563.5522741891682</v>
      </c>
      <c r="Z109" s="64">
        <f>+SUM($D44:Z44)</f>
        <v>15127.104548378336</v>
      </c>
      <c r="AA109" s="64">
        <f>+SUM($D44:AA44)</f>
        <v>22690.656822567504</v>
      </c>
      <c r="AB109" s="64">
        <f>+SUM($D44:AB44)</f>
        <v>30254.209096756673</v>
      </c>
      <c r="AC109" s="64">
        <f>+SUM($D44:AC44)</f>
        <v>37817.761370945838</v>
      </c>
      <c r="AD109" s="64"/>
      <c r="AE109" s="64"/>
      <c r="AF109" s="64"/>
      <c r="AG109" s="64"/>
      <c r="AH109" s="64"/>
      <c r="AI109" s="64"/>
      <c r="AJ109" s="64"/>
      <c r="AK109" s="64"/>
      <c r="AL109" s="64"/>
      <c r="AM109" s="64"/>
      <c r="AN109" s="64"/>
    </row>
    <row r="110" spans="2:40" hidden="1" outlineLevel="1" x14ac:dyDescent="0.2">
      <c r="B110" t="s">
        <v>15</v>
      </c>
      <c r="S110" s="64"/>
      <c r="T110" s="64"/>
      <c r="U110" s="64"/>
      <c r="V110" s="64"/>
      <c r="W110" s="64"/>
      <c r="X110" s="64"/>
      <c r="Y110" s="64"/>
      <c r="Z110" s="64">
        <f>+SUM($D45:Z45)</f>
        <v>8542.9724887577577</v>
      </c>
      <c r="AA110" s="64">
        <f>+SUM($D45:AA45)</f>
        <v>17085.944977515515</v>
      </c>
      <c r="AB110" s="64">
        <f>+SUM($D45:AB45)</f>
        <v>25628.917466273273</v>
      </c>
      <c r="AC110" s="64">
        <f>+SUM($D45:AC45)</f>
        <v>34171.889955031031</v>
      </c>
      <c r="AD110" s="64"/>
      <c r="AE110" s="64"/>
      <c r="AF110" s="64"/>
      <c r="AG110" s="64"/>
      <c r="AH110" s="64"/>
      <c r="AI110" s="64"/>
      <c r="AJ110" s="64"/>
      <c r="AK110" s="64"/>
      <c r="AL110" s="64"/>
      <c r="AM110" s="64"/>
      <c r="AN110" s="64"/>
    </row>
    <row r="111" spans="2:40" hidden="1" outlineLevel="1" x14ac:dyDescent="0.2">
      <c r="B111" t="s">
        <v>325</v>
      </c>
      <c r="S111" s="64"/>
      <c r="T111" s="64"/>
      <c r="U111" s="64"/>
      <c r="V111" s="64"/>
      <c r="W111" s="64"/>
      <c r="X111" s="64"/>
      <c r="Y111" s="64"/>
      <c r="Z111" s="64"/>
      <c r="AA111" s="64">
        <f>+SUM($D46:AA46)</f>
        <v>9598.3985333160617</v>
      </c>
      <c r="AB111" s="64">
        <f>+SUM($D46:AB46)</f>
        <v>19196.797066632123</v>
      </c>
      <c r="AC111" s="64">
        <f>+SUM($D46:AC46)</f>
        <v>28795.195599948187</v>
      </c>
      <c r="AD111" s="64"/>
      <c r="AE111" s="64"/>
      <c r="AF111" s="64"/>
      <c r="AG111" s="64"/>
      <c r="AH111" s="64"/>
      <c r="AI111" s="64"/>
      <c r="AJ111" s="64"/>
      <c r="AK111" s="64"/>
      <c r="AL111" s="64"/>
      <c r="AM111" s="64"/>
      <c r="AN111" s="64"/>
    </row>
    <row r="112" spans="2:40" hidden="1" outlineLevel="1" x14ac:dyDescent="0.2">
      <c r="B112" t="s">
        <v>346</v>
      </c>
      <c r="S112" s="64"/>
      <c r="T112" s="64"/>
      <c r="U112" s="64"/>
      <c r="V112" s="64"/>
      <c r="W112" s="64"/>
      <c r="X112" s="64"/>
      <c r="Y112" s="64"/>
      <c r="Z112" s="64"/>
      <c r="AA112" s="64"/>
      <c r="AB112" s="64">
        <f>+SUM($D47:AB47)</f>
        <v>10729.246492714021</v>
      </c>
      <c r="AC112" s="64">
        <f>+SUM($D47:AC47)</f>
        <v>21458.492985428042</v>
      </c>
      <c r="AD112" s="64"/>
      <c r="AE112" s="64"/>
      <c r="AF112" s="64"/>
      <c r="AG112" s="64"/>
      <c r="AH112" s="64"/>
      <c r="AI112" s="64"/>
      <c r="AJ112" s="64"/>
      <c r="AK112" s="64"/>
      <c r="AL112" s="64"/>
      <c r="AM112" s="64"/>
      <c r="AN112" s="64"/>
    </row>
    <row r="113" spans="2:40" hidden="1" outlineLevel="1" x14ac:dyDescent="0.2">
      <c r="B113" t="s">
        <v>426</v>
      </c>
      <c r="S113" s="64"/>
      <c r="T113" s="64"/>
      <c r="U113" s="64"/>
      <c r="V113" s="64"/>
      <c r="W113" s="64"/>
      <c r="X113" s="64"/>
      <c r="Y113" s="64"/>
      <c r="Z113" s="64"/>
      <c r="AA113" s="64"/>
      <c r="AB113" s="64"/>
      <c r="AC113" s="64">
        <f>+SUM($D48:AC48)</f>
        <v>11933.942075306533</v>
      </c>
      <c r="AD113" s="64"/>
      <c r="AE113" s="64"/>
      <c r="AF113" s="64"/>
      <c r="AG113" s="64"/>
      <c r="AH113" s="64"/>
      <c r="AI113" s="64"/>
      <c r="AJ113" s="64"/>
      <c r="AK113" s="64"/>
      <c r="AL113" s="64"/>
      <c r="AM113" s="64"/>
      <c r="AN113" s="64"/>
    </row>
    <row r="114" spans="2:40" hidden="1" outlineLevel="1" x14ac:dyDescent="0.2"/>
    <row r="115" spans="2:40" hidden="1" outlineLevel="1" x14ac:dyDescent="0.2">
      <c r="B115" s="54" t="s">
        <v>389</v>
      </c>
    </row>
    <row r="116" spans="2:40" hidden="1" outlineLevel="1" x14ac:dyDescent="0.2">
      <c r="B116" t="s">
        <v>371</v>
      </c>
      <c r="E116" s="64">
        <f t="shared" ref="E116:AB116" si="44">+E62-E89</f>
        <v>810</v>
      </c>
      <c r="F116" s="64">
        <f t="shared" si="44"/>
        <v>648</v>
      </c>
      <c r="G116" s="64">
        <f t="shared" si="44"/>
        <v>486</v>
      </c>
      <c r="H116" s="64">
        <f t="shared" si="44"/>
        <v>324</v>
      </c>
      <c r="I116" s="64">
        <f t="shared" si="44"/>
        <v>162</v>
      </c>
      <c r="J116" s="64">
        <f t="shared" si="44"/>
        <v>0</v>
      </c>
      <c r="K116" s="64">
        <f t="shared" si="44"/>
        <v>0</v>
      </c>
      <c r="L116" s="64">
        <f t="shared" si="44"/>
        <v>0</v>
      </c>
      <c r="M116" s="64">
        <f t="shared" si="44"/>
        <v>0</v>
      </c>
      <c r="N116" s="64">
        <f t="shared" si="44"/>
        <v>0</v>
      </c>
      <c r="O116" s="64">
        <f t="shared" si="44"/>
        <v>0</v>
      </c>
      <c r="P116" s="64">
        <f t="shared" si="44"/>
        <v>0</v>
      </c>
      <c r="Q116" s="64">
        <f t="shared" si="44"/>
        <v>0</v>
      </c>
      <c r="R116" s="64">
        <f t="shared" si="44"/>
        <v>0</v>
      </c>
      <c r="S116" s="64">
        <f t="shared" si="44"/>
        <v>0</v>
      </c>
      <c r="T116" s="64">
        <f t="shared" si="44"/>
        <v>0</v>
      </c>
      <c r="U116" s="64">
        <f t="shared" si="44"/>
        <v>0</v>
      </c>
      <c r="V116" s="64">
        <f t="shared" si="44"/>
        <v>0</v>
      </c>
      <c r="W116" s="64">
        <f t="shared" si="44"/>
        <v>0</v>
      </c>
      <c r="X116" s="64">
        <f t="shared" si="44"/>
        <v>0</v>
      </c>
      <c r="Y116" s="64">
        <f t="shared" si="44"/>
        <v>0</v>
      </c>
      <c r="Z116" s="64">
        <f t="shared" si="44"/>
        <v>0</v>
      </c>
      <c r="AA116" s="64">
        <f t="shared" si="44"/>
        <v>0</v>
      </c>
      <c r="AB116" s="64">
        <f t="shared" si="44"/>
        <v>0</v>
      </c>
      <c r="AC116" s="64">
        <f t="shared" ref="AC116:AC134" si="45">+AC62-AC89</f>
        <v>0</v>
      </c>
    </row>
    <row r="117" spans="2:40" hidden="1" outlineLevel="1" x14ac:dyDescent="0.2">
      <c r="B117" t="s">
        <v>106</v>
      </c>
      <c r="F117" s="64">
        <f t="shared" ref="F117:AB117" si="46">+F63-F90</f>
        <v>1025.8333333333333</v>
      </c>
      <c r="G117" s="64">
        <f t="shared" si="46"/>
        <v>820.66666666666674</v>
      </c>
      <c r="H117" s="64">
        <f t="shared" si="46"/>
        <v>615.5</v>
      </c>
      <c r="I117" s="64">
        <f t="shared" si="46"/>
        <v>410.33333333333337</v>
      </c>
      <c r="J117" s="64">
        <f t="shared" si="46"/>
        <v>205.16666666666674</v>
      </c>
      <c r="K117" s="64">
        <f t="shared" si="46"/>
        <v>0</v>
      </c>
      <c r="L117" s="64">
        <f t="shared" si="46"/>
        <v>0</v>
      </c>
      <c r="M117" s="64">
        <f t="shared" si="46"/>
        <v>0</v>
      </c>
      <c r="N117" s="64">
        <f t="shared" si="46"/>
        <v>0</v>
      </c>
      <c r="O117" s="64">
        <f t="shared" si="46"/>
        <v>0</v>
      </c>
      <c r="P117" s="64">
        <f t="shared" si="46"/>
        <v>0</v>
      </c>
      <c r="Q117" s="64">
        <f t="shared" si="46"/>
        <v>0</v>
      </c>
      <c r="R117" s="64">
        <f t="shared" si="46"/>
        <v>0</v>
      </c>
      <c r="S117" s="64">
        <f t="shared" si="46"/>
        <v>0</v>
      </c>
      <c r="T117" s="64">
        <f t="shared" si="46"/>
        <v>0</v>
      </c>
      <c r="U117" s="64">
        <f t="shared" si="46"/>
        <v>0</v>
      </c>
      <c r="V117" s="64">
        <f t="shared" si="46"/>
        <v>0</v>
      </c>
      <c r="W117" s="64">
        <f t="shared" si="46"/>
        <v>0</v>
      </c>
      <c r="X117" s="64">
        <f t="shared" si="46"/>
        <v>0</v>
      </c>
      <c r="Y117" s="64">
        <f t="shared" si="46"/>
        <v>0</v>
      </c>
      <c r="Z117" s="64">
        <f t="shared" si="46"/>
        <v>0</v>
      </c>
      <c r="AA117" s="64">
        <f t="shared" si="46"/>
        <v>0</v>
      </c>
      <c r="AB117" s="64">
        <f t="shared" si="46"/>
        <v>0</v>
      </c>
      <c r="AC117" s="64">
        <f t="shared" si="45"/>
        <v>0</v>
      </c>
    </row>
    <row r="118" spans="2:40" hidden="1" outlineLevel="1" x14ac:dyDescent="0.2">
      <c r="B118" t="s">
        <v>107</v>
      </c>
      <c r="G118" s="64">
        <f t="shared" ref="G118:AB118" si="47">+G64-G91</f>
        <v>780</v>
      </c>
      <c r="H118" s="64">
        <f t="shared" si="47"/>
        <v>624</v>
      </c>
      <c r="I118" s="64">
        <f t="shared" si="47"/>
        <v>468</v>
      </c>
      <c r="J118" s="64">
        <f t="shared" si="47"/>
        <v>312</v>
      </c>
      <c r="K118" s="64">
        <f t="shared" si="47"/>
        <v>156</v>
      </c>
      <c r="L118" s="64">
        <f t="shared" si="47"/>
        <v>0</v>
      </c>
      <c r="M118" s="64">
        <f t="shared" si="47"/>
        <v>0</v>
      </c>
      <c r="N118" s="64">
        <f t="shared" si="47"/>
        <v>0</v>
      </c>
      <c r="O118" s="64">
        <f t="shared" si="47"/>
        <v>0</v>
      </c>
      <c r="P118" s="64">
        <f t="shared" si="47"/>
        <v>0</v>
      </c>
      <c r="Q118" s="64">
        <f t="shared" si="47"/>
        <v>0</v>
      </c>
      <c r="R118" s="64">
        <f t="shared" si="47"/>
        <v>0</v>
      </c>
      <c r="S118" s="64">
        <f t="shared" si="47"/>
        <v>0</v>
      </c>
      <c r="T118" s="64">
        <f t="shared" si="47"/>
        <v>0</v>
      </c>
      <c r="U118" s="64">
        <f t="shared" si="47"/>
        <v>0</v>
      </c>
      <c r="V118" s="64">
        <f t="shared" si="47"/>
        <v>0</v>
      </c>
      <c r="W118" s="64">
        <f t="shared" si="47"/>
        <v>0</v>
      </c>
      <c r="X118" s="64">
        <f t="shared" si="47"/>
        <v>0</v>
      </c>
      <c r="Y118" s="64">
        <f t="shared" si="47"/>
        <v>0</v>
      </c>
      <c r="Z118" s="64">
        <f t="shared" si="47"/>
        <v>0</v>
      </c>
      <c r="AA118" s="64">
        <f t="shared" si="47"/>
        <v>0</v>
      </c>
      <c r="AB118" s="64">
        <f t="shared" si="47"/>
        <v>0</v>
      </c>
      <c r="AC118" s="64">
        <f t="shared" si="45"/>
        <v>0</v>
      </c>
    </row>
    <row r="119" spans="2:40" hidden="1" outlineLevel="1" x14ac:dyDescent="0.2">
      <c r="B119" t="s">
        <v>0</v>
      </c>
      <c r="H119" s="64">
        <f t="shared" ref="H119:AB119" si="48">+H65-H92</f>
        <v>1067.5</v>
      </c>
      <c r="I119" s="64">
        <f t="shared" si="48"/>
        <v>854</v>
      </c>
      <c r="J119" s="64">
        <f t="shared" si="48"/>
        <v>640.5</v>
      </c>
      <c r="K119" s="64">
        <f t="shared" si="48"/>
        <v>427</v>
      </c>
      <c r="L119" s="64">
        <f t="shared" si="48"/>
        <v>213.5</v>
      </c>
      <c r="M119" s="64">
        <f t="shared" si="48"/>
        <v>0</v>
      </c>
      <c r="N119" s="64">
        <f t="shared" si="48"/>
        <v>0</v>
      </c>
      <c r="O119" s="64">
        <f t="shared" si="48"/>
        <v>0</v>
      </c>
      <c r="P119" s="64">
        <f t="shared" si="48"/>
        <v>0</v>
      </c>
      <c r="Q119" s="64">
        <f t="shared" si="48"/>
        <v>0</v>
      </c>
      <c r="R119" s="64">
        <f t="shared" si="48"/>
        <v>0</v>
      </c>
      <c r="S119" s="64">
        <f t="shared" si="48"/>
        <v>0</v>
      </c>
      <c r="T119" s="64">
        <f t="shared" si="48"/>
        <v>0</v>
      </c>
      <c r="U119" s="64">
        <f t="shared" si="48"/>
        <v>0</v>
      </c>
      <c r="V119" s="64">
        <f t="shared" si="48"/>
        <v>0</v>
      </c>
      <c r="W119" s="64">
        <f t="shared" si="48"/>
        <v>0</v>
      </c>
      <c r="X119" s="64">
        <f t="shared" si="48"/>
        <v>0</v>
      </c>
      <c r="Y119" s="64">
        <f t="shared" si="48"/>
        <v>0</v>
      </c>
      <c r="Z119" s="64">
        <f t="shared" si="48"/>
        <v>0</v>
      </c>
      <c r="AA119" s="64">
        <f t="shared" si="48"/>
        <v>0</v>
      </c>
      <c r="AB119" s="64">
        <f t="shared" si="48"/>
        <v>0</v>
      </c>
      <c r="AC119" s="64">
        <f t="shared" si="45"/>
        <v>0</v>
      </c>
    </row>
    <row r="120" spans="2:40" hidden="1" outlineLevel="1" x14ac:dyDescent="0.2">
      <c r="B120" t="s">
        <v>1</v>
      </c>
      <c r="I120" s="64">
        <f t="shared" ref="I120:AB120" si="49">+I66-I93</f>
        <v>1792.5</v>
      </c>
      <c r="J120" s="64">
        <f t="shared" si="49"/>
        <v>1434</v>
      </c>
      <c r="K120" s="64">
        <f t="shared" si="49"/>
        <v>1075.5</v>
      </c>
      <c r="L120" s="64">
        <f t="shared" si="49"/>
        <v>717</v>
      </c>
      <c r="M120" s="64">
        <f t="shared" si="49"/>
        <v>358.5</v>
      </c>
      <c r="N120" s="64">
        <f t="shared" si="49"/>
        <v>0</v>
      </c>
      <c r="O120" s="64">
        <f t="shared" si="49"/>
        <v>0</v>
      </c>
      <c r="P120" s="64">
        <f t="shared" si="49"/>
        <v>0</v>
      </c>
      <c r="Q120" s="64">
        <f t="shared" si="49"/>
        <v>0</v>
      </c>
      <c r="R120" s="64">
        <f t="shared" si="49"/>
        <v>0</v>
      </c>
      <c r="S120" s="64">
        <f t="shared" si="49"/>
        <v>0</v>
      </c>
      <c r="T120" s="64">
        <f t="shared" si="49"/>
        <v>0</v>
      </c>
      <c r="U120" s="64">
        <f t="shared" si="49"/>
        <v>0</v>
      </c>
      <c r="V120" s="64">
        <f t="shared" si="49"/>
        <v>0</v>
      </c>
      <c r="W120" s="64">
        <f t="shared" si="49"/>
        <v>0</v>
      </c>
      <c r="X120" s="64">
        <f t="shared" si="49"/>
        <v>0</v>
      </c>
      <c r="Y120" s="64">
        <f t="shared" si="49"/>
        <v>0</v>
      </c>
      <c r="Z120" s="64">
        <f t="shared" si="49"/>
        <v>0</v>
      </c>
      <c r="AA120" s="64">
        <f t="shared" si="49"/>
        <v>0</v>
      </c>
      <c r="AB120" s="64">
        <f t="shared" si="49"/>
        <v>0</v>
      </c>
      <c r="AC120" s="64">
        <f t="shared" si="45"/>
        <v>0</v>
      </c>
      <c r="AD120" s="64"/>
    </row>
    <row r="121" spans="2:40" hidden="1" outlineLevel="1" x14ac:dyDescent="0.2">
      <c r="B121" t="s">
        <v>2</v>
      </c>
      <c r="J121" s="64">
        <f t="shared" ref="J121:AB121" si="50">+J67-J94</f>
        <v>2263.3333333333335</v>
      </c>
      <c r="K121" s="64">
        <f t="shared" si="50"/>
        <v>1810.6666666666665</v>
      </c>
      <c r="L121" s="64">
        <f t="shared" si="50"/>
        <v>1358</v>
      </c>
      <c r="M121" s="64">
        <f t="shared" si="50"/>
        <v>905.33333333333326</v>
      </c>
      <c r="N121" s="64">
        <f t="shared" si="50"/>
        <v>452.66666666666652</v>
      </c>
      <c r="O121" s="64">
        <f t="shared" si="50"/>
        <v>64.666666666666515</v>
      </c>
      <c r="P121" s="64">
        <f t="shared" si="50"/>
        <v>0</v>
      </c>
      <c r="Q121" s="64">
        <f t="shared" si="50"/>
        <v>0</v>
      </c>
      <c r="R121" s="64">
        <f t="shared" si="50"/>
        <v>0</v>
      </c>
      <c r="S121" s="64">
        <f t="shared" si="50"/>
        <v>0</v>
      </c>
      <c r="T121" s="64">
        <f t="shared" si="50"/>
        <v>0</v>
      </c>
      <c r="U121" s="64">
        <f t="shared" si="50"/>
        <v>0</v>
      </c>
      <c r="V121" s="64">
        <f t="shared" si="50"/>
        <v>0</v>
      </c>
      <c r="W121" s="64">
        <f t="shared" si="50"/>
        <v>0</v>
      </c>
      <c r="X121" s="64">
        <f t="shared" si="50"/>
        <v>0</v>
      </c>
      <c r="Y121" s="64">
        <f t="shared" si="50"/>
        <v>0</v>
      </c>
      <c r="Z121" s="64">
        <f t="shared" si="50"/>
        <v>0</v>
      </c>
      <c r="AA121" s="64">
        <f t="shared" si="50"/>
        <v>0</v>
      </c>
      <c r="AB121" s="64">
        <f t="shared" si="50"/>
        <v>0</v>
      </c>
      <c r="AC121" s="64">
        <f t="shared" si="45"/>
        <v>0</v>
      </c>
      <c r="AD121" s="64"/>
      <c r="AE121" s="64"/>
    </row>
    <row r="122" spans="2:40" hidden="1" outlineLevel="1" x14ac:dyDescent="0.2">
      <c r="B122" t="s">
        <v>3</v>
      </c>
      <c r="K122" s="64">
        <f t="shared" ref="K122:AB122" si="51">+K68-K95</f>
        <v>4526.666666666667</v>
      </c>
      <c r="L122" s="64">
        <f t="shared" si="51"/>
        <v>3621.333333333333</v>
      </c>
      <c r="M122" s="64">
        <f t="shared" si="51"/>
        <v>2716</v>
      </c>
      <c r="N122" s="64">
        <f t="shared" si="51"/>
        <v>1810.6666666666665</v>
      </c>
      <c r="O122" s="64">
        <f t="shared" si="51"/>
        <v>1034.6666666666661</v>
      </c>
      <c r="P122" s="64">
        <f t="shared" si="51"/>
        <v>310.39999999999964</v>
      </c>
      <c r="Q122" s="64">
        <f t="shared" si="51"/>
        <v>0</v>
      </c>
      <c r="R122" s="64">
        <f t="shared" si="51"/>
        <v>0</v>
      </c>
      <c r="S122" s="64">
        <f t="shared" si="51"/>
        <v>0</v>
      </c>
      <c r="T122" s="64">
        <f t="shared" si="51"/>
        <v>0</v>
      </c>
      <c r="U122" s="64">
        <f t="shared" si="51"/>
        <v>0</v>
      </c>
      <c r="V122" s="64">
        <f t="shared" si="51"/>
        <v>0</v>
      </c>
      <c r="W122" s="64">
        <f t="shared" si="51"/>
        <v>0</v>
      </c>
      <c r="X122" s="64">
        <f t="shared" si="51"/>
        <v>0</v>
      </c>
      <c r="Y122" s="64">
        <f t="shared" si="51"/>
        <v>0</v>
      </c>
      <c r="Z122" s="64">
        <f t="shared" si="51"/>
        <v>0</v>
      </c>
      <c r="AA122" s="64">
        <f t="shared" si="51"/>
        <v>0</v>
      </c>
      <c r="AB122" s="64">
        <f t="shared" si="51"/>
        <v>0</v>
      </c>
      <c r="AC122" s="64">
        <f t="shared" si="45"/>
        <v>0</v>
      </c>
      <c r="AD122" s="64"/>
      <c r="AE122" s="64"/>
      <c r="AF122" s="64"/>
    </row>
    <row r="123" spans="2:40" hidden="1" outlineLevel="1" x14ac:dyDescent="0.2">
      <c r="B123" t="s">
        <v>4</v>
      </c>
      <c r="L123" s="64">
        <f t="shared" ref="L123:AB123" si="52">+L69-L96</f>
        <v>7500</v>
      </c>
      <c r="M123" s="64">
        <f t="shared" si="52"/>
        <v>6000</v>
      </c>
      <c r="N123" s="64">
        <f t="shared" si="52"/>
        <v>4500</v>
      </c>
      <c r="O123" s="64">
        <f t="shared" si="52"/>
        <v>3214.2857142857138</v>
      </c>
      <c r="P123" s="64">
        <f t="shared" si="52"/>
        <v>2014.2857142857138</v>
      </c>
      <c r="Q123" s="64">
        <f t="shared" si="52"/>
        <v>889.28571428571377</v>
      </c>
      <c r="R123" s="64">
        <f t="shared" si="52"/>
        <v>0</v>
      </c>
      <c r="S123" s="64">
        <f t="shared" si="52"/>
        <v>0</v>
      </c>
      <c r="T123" s="64">
        <f t="shared" si="52"/>
        <v>0</v>
      </c>
      <c r="U123" s="64">
        <f t="shared" si="52"/>
        <v>0</v>
      </c>
      <c r="V123" s="64">
        <f t="shared" si="52"/>
        <v>0</v>
      </c>
      <c r="W123" s="64">
        <f t="shared" si="52"/>
        <v>0</v>
      </c>
      <c r="X123" s="64">
        <f t="shared" si="52"/>
        <v>0</v>
      </c>
      <c r="Y123" s="64">
        <f t="shared" si="52"/>
        <v>0</v>
      </c>
      <c r="Z123" s="64">
        <f t="shared" si="52"/>
        <v>0</v>
      </c>
      <c r="AA123" s="64">
        <f t="shared" si="52"/>
        <v>0</v>
      </c>
      <c r="AB123" s="64">
        <f t="shared" si="52"/>
        <v>0</v>
      </c>
      <c r="AC123" s="64">
        <f t="shared" si="45"/>
        <v>0</v>
      </c>
      <c r="AD123" s="64"/>
      <c r="AE123" s="64"/>
      <c r="AF123" s="64"/>
      <c r="AG123" s="64"/>
    </row>
    <row r="124" spans="2:40" hidden="1" outlineLevel="1" x14ac:dyDescent="0.2">
      <c r="B124" t="s">
        <v>5</v>
      </c>
      <c r="M124" s="64">
        <f t="shared" ref="M124:AB124" si="53">+M70-M97</f>
        <v>9618.3333333333339</v>
      </c>
      <c r="N124" s="64">
        <f t="shared" si="53"/>
        <v>7694.6666666666661</v>
      </c>
      <c r="O124" s="64">
        <f t="shared" si="53"/>
        <v>6045.8095238095239</v>
      </c>
      <c r="P124" s="64">
        <f t="shared" si="53"/>
        <v>4506.8761904761905</v>
      </c>
      <c r="Q124" s="64">
        <f t="shared" si="53"/>
        <v>3064.1261904761905</v>
      </c>
      <c r="R124" s="64">
        <f t="shared" si="53"/>
        <v>1621.3761904761905</v>
      </c>
      <c r="S124" s="64">
        <f t="shared" si="53"/>
        <v>178.62619047619046</v>
      </c>
      <c r="T124" s="64">
        <f t="shared" si="53"/>
        <v>0</v>
      </c>
      <c r="U124" s="64">
        <f t="shared" si="53"/>
        <v>0</v>
      </c>
      <c r="V124" s="64">
        <f t="shared" si="53"/>
        <v>0</v>
      </c>
      <c r="W124" s="64">
        <f t="shared" si="53"/>
        <v>0</v>
      </c>
      <c r="X124" s="64">
        <f t="shared" si="53"/>
        <v>0</v>
      </c>
      <c r="Y124" s="64">
        <f t="shared" si="53"/>
        <v>0</v>
      </c>
      <c r="Z124" s="64">
        <f t="shared" si="53"/>
        <v>0</v>
      </c>
      <c r="AA124" s="64">
        <f t="shared" si="53"/>
        <v>0</v>
      </c>
      <c r="AB124" s="64">
        <f t="shared" si="53"/>
        <v>0</v>
      </c>
      <c r="AC124" s="64">
        <f t="shared" si="45"/>
        <v>0</v>
      </c>
      <c r="AD124" s="64"/>
      <c r="AE124" s="64"/>
      <c r="AF124" s="64"/>
      <c r="AG124" s="64"/>
      <c r="AH124" s="64"/>
    </row>
    <row r="125" spans="2:40" hidden="1" outlineLevel="1" x14ac:dyDescent="0.2">
      <c r="B125" t="s">
        <v>6</v>
      </c>
      <c r="N125" s="64">
        <f t="shared" ref="N125:AB125" si="54">+N71-N98</f>
        <v>11563.333333333334</v>
      </c>
      <c r="O125" s="64">
        <f t="shared" si="54"/>
        <v>9581.0476190476184</v>
      </c>
      <c r="P125" s="64">
        <f t="shared" si="54"/>
        <v>7730.9142857142861</v>
      </c>
      <c r="Q125" s="64">
        <f t="shared" si="54"/>
        <v>5996.4142857142861</v>
      </c>
      <c r="R125" s="64">
        <f t="shared" si="54"/>
        <v>4261.914285714287</v>
      </c>
      <c r="S125" s="64">
        <f t="shared" si="54"/>
        <v>2527.414285714287</v>
      </c>
      <c r="T125" s="64">
        <f t="shared" si="54"/>
        <v>792.91428571428696</v>
      </c>
      <c r="U125" s="64">
        <f t="shared" si="54"/>
        <v>0</v>
      </c>
      <c r="V125" s="64">
        <f t="shared" si="54"/>
        <v>0</v>
      </c>
      <c r="W125" s="64">
        <f t="shared" si="54"/>
        <v>0</v>
      </c>
      <c r="X125" s="64">
        <f t="shared" si="54"/>
        <v>0</v>
      </c>
      <c r="Y125" s="64">
        <f t="shared" si="54"/>
        <v>0</v>
      </c>
      <c r="Z125" s="64">
        <f t="shared" si="54"/>
        <v>0</v>
      </c>
      <c r="AA125" s="64">
        <f t="shared" si="54"/>
        <v>0</v>
      </c>
      <c r="AB125" s="64">
        <f t="shared" si="54"/>
        <v>0</v>
      </c>
      <c r="AC125" s="64">
        <f t="shared" si="45"/>
        <v>0</v>
      </c>
      <c r="AD125" s="64"/>
      <c r="AE125" s="64"/>
      <c r="AF125" s="64"/>
      <c r="AG125" s="64"/>
      <c r="AH125" s="64"/>
      <c r="AI125" s="64"/>
    </row>
    <row r="126" spans="2:40" hidden="1" outlineLevel="1" x14ac:dyDescent="0.2">
      <c r="B126" t="s">
        <v>321</v>
      </c>
      <c r="O126" s="64">
        <f t="shared" ref="O126:AB126" si="55">+O72-O99</f>
        <v>11519.142857142857</v>
      </c>
      <c r="P126" s="64">
        <f t="shared" si="55"/>
        <v>9727.2761904761901</v>
      </c>
      <c r="Q126" s="64">
        <f t="shared" si="55"/>
        <v>8047.4011904761901</v>
      </c>
      <c r="R126" s="64">
        <f t="shared" si="55"/>
        <v>6367.5261904761901</v>
      </c>
      <c r="S126" s="64">
        <f t="shared" si="55"/>
        <v>4687.6511904761901</v>
      </c>
      <c r="T126" s="64">
        <f t="shared" si="55"/>
        <v>3007.7761904761901</v>
      </c>
      <c r="U126" s="64">
        <f t="shared" si="55"/>
        <v>1327.9011904761901</v>
      </c>
      <c r="V126" s="64">
        <f t="shared" si="55"/>
        <v>0</v>
      </c>
      <c r="W126" s="64">
        <f t="shared" si="55"/>
        <v>0</v>
      </c>
      <c r="X126" s="64">
        <f t="shared" si="55"/>
        <v>0</v>
      </c>
      <c r="Y126" s="64">
        <f t="shared" si="55"/>
        <v>0</v>
      </c>
      <c r="Z126" s="64">
        <f t="shared" si="55"/>
        <v>0</v>
      </c>
      <c r="AA126" s="64">
        <f t="shared" si="55"/>
        <v>0</v>
      </c>
      <c r="AB126" s="64">
        <f t="shared" si="55"/>
        <v>0</v>
      </c>
      <c r="AC126" s="64">
        <f t="shared" si="45"/>
        <v>0</v>
      </c>
      <c r="AD126" s="64"/>
      <c r="AE126" s="64"/>
      <c r="AF126" s="64"/>
      <c r="AG126" s="64"/>
      <c r="AH126" s="64"/>
      <c r="AI126" s="64"/>
      <c r="AJ126" s="64"/>
    </row>
    <row r="127" spans="2:40" hidden="1" outlineLevel="1" x14ac:dyDescent="0.2">
      <c r="B127" t="s">
        <v>306</v>
      </c>
      <c r="P127" s="64">
        <f t="shared" ref="P127:AB127" si="56">+P73-P100</f>
        <v>14073.8</v>
      </c>
      <c r="Q127" s="64">
        <f t="shared" si="56"/>
        <v>12043.924999999999</v>
      </c>
      <c r="R127" s="64">
        <f t="shared" si="56"/>
        <v>10014.049999999999</v>
      </c>
      <c r="S127" s="64">
        <f t="shared" si="56"/>
        <v>7984.1749999999993</v>
      </c>
      <c r="T127" s="64">
        <f t="shared" si="56"/>
        <v>5954.2999999999993</v>
      </c>
      <c r="U127" s="64">
        <f t="shared" si="56"/>
        <v>3924.4249999999993</v>
      </c>
      <c r="V127" s="64">
        <f t="shared" si="56"/>
        <v>1894.5499999999993</v>
      </c>
      <c r="W127" s="64">
        <f t="shared" si="56"/>
        <v>0</v>
      </c>
      <c r="X127" s="64">
        <f t="shared" si="56"/>
        <v>0</v>
      </c>
      <c r="Y127" s="64">
        <f t="shared" si="56"/>
        <v>0</v>
      </c>
      <c r="Z127" s="64">
        <f t="shared" si="56"/>
        <v>0</v>
      </c>
      <c r="AA127" s="64">
        <f t="shared" si="56"/>
        <v>0</v>
      </c>
      <c r="AB127" s="64">
        <f t="shared" si="56"/>
        <v>0</v>
      </c>
      <c r="AC127" s="64">
        <f t="shared" si="45"/>
        <v>0</v>
      </c>
      <c r="AD127" s="64"/>
      <c r="AE127" s="64"/>
      <c r="AF127" s="64"/>
      <c r="AG127" s="64"/>
      <c r="AH127" s="64"/>
      <c r="AI127" s="64"/>
      <c r="AJ127" s="64"/>
      <c r="AK127" s="64"/>
    </row>
    <row r="128" spans="2:40" hidden="1" outlineLevel="1" x14ac:dyDescent="0.2">
      <c r="B128" t="s">
        <v>357</v>
      </c>
      <c r="Q128" s="64">
        <f t="shared" ref="Q128:AB128" si="57">+Q74-Q101</f>
        <v>22759.625</v>
      </c>
      <c r="R128" s="64">
        <f t="shared" si="57"/>
        <v>19508.25</v>
      </c>
      <c r="S128" s="64">
        <f t="shared" si="57"/>
        <v>16256.875</v>
      </c>
      <c r="T128" s="64">
        <f t="shared" si="57"/>
        <v>13005.5</v>
      </c>
      <c r="U128" s="64">
        <f t="shared" si="57"/>
        <v>9754.125</v>
      </c>
      <c r="V128" s="64">
        <f t="shared" si="57"/>
        <v>6502.75</v>
      </c>
      <c r="W128" s="64">
        <f t="shared" si="57"/>
        <v>3251.375</v>
      </c>
      <c r="X128" s="64">
        <f t="shared" si="57"/>
        <v>0</v>
      </c>
      <c r="Y128" s="64">
        <f t="shared" si="57"/>
        <v>0</v>
      </c>
      <c r="Z128" s="64">
        <f t="shared" si="57"/>
        <v>0</v>
      </c>
      <c r="AA128" s="64">
        <f t="shared" si="57"/>
        <v>0</v>
      </c>
      <c r="AB128" s="64">
        <f t="shared" si="57"/>
        <v>0</v>
      </c>
      <c r="AC128" s="64">
        <f t="shared" si="45"/>
        <v>0</v>
      </c>
      <c r="AD128" s="64"/>
      <c r="AE128" s="64"/>
      <c r="AF128" s="64"/>
      <c r="AG128" s="64"/>
      <c r="AH128" s="64"/>
      <c r="AI128" s="64"/>
      <c r="AJ128" s="64"/>
      <c r="AK128" s="64"/>
      <c r="AL128" s="64"/>
    </row>
    <row r="129" spans="2:40" hidden="1" outlineLevel="1" x14ac:dyDescent="0.2">
      <c r="B129" t="s">
        <v>7</v>
      </c>
      <c r="R129" s="64">
        <f t="shared" ref="R129:AB129" si="58">+R75-R102</f>
        <v>29904.903625833329</v>
      </c>
      <c r="S129" s="64">
        <f t="shared" si="58"/>
        <v>25632.774536428569</v>
      </c>
      <c r="T129" s="64">
        <f t="shared" si="58"/>
        <v>21360.64544702381</v>
      </c>
      <c r="U129" s="64">
        <f t="shared" si="58"/>
        <v>17088.516357619046</v>
      </c>
      <c r="V129" s="64">
        <f t="shared" si="58"/>
        <v>12816.387268214283</v>
      </c>
      <c r="W129" s="64">
        <f t="shared" si="58"/>
        <v>8544.2581788095194</v>
      </c>
      <c r="X129" s="64">
        <f t="shared" si="58"/>
        <v>4272.1290894047561</v>
      </c>
      <c r="Y129" s="64">
        <f t="shared" si="58"/>
        <v>0</v>
      </c>
      <c r="Z129" s="64">
        <f t="shared" si="58"/>
        <v>0</v>
      </c>
      <c r="AA129" s="64">
        <f t="shared" si="58"/>
        <v>0</v>
      </c>
      <c r="AB129" s="64">
        <f t="shared" si="58"/>
        <v>0</v>
      </c>
      <c r="AC129" s="64">
        <f t="shared" si="45"/>
        <v>0</v>
      </c>
      <c r="AD129" s="64"/>
      <c r="AE129" s="64"/>
      <c r="AF129" s="64"/>
      <c r="AG129" s="64"/>
      <c r="AH129" s="64"/>
      <c r="AI129" s="64"/>
      <c r="AJ129" s="64"/>
      <c r="AK129" s="64"/>
      <c r="AL129" s="64"/>
      <c r="AM129" s="64"/>
    </row>
    <row r="130" spans="2:40" hidden="1" outlineLevel="1" x14ac:dyDescent="0.2">
      <c r="B130" t="s">
        <v>8</v>
      </c>
      <c r="S130" s="64">
        <f t="shared" ref="S130:AB130" si="59">+S76-S103</f>
        <v>34223.616307032251</v>
      </c>
      <c r="T130" s="64">
        <f t="shared" si="59"/>
        <v>29334.528263170498</v>
      </c>
      <c r="U130" s="64">
        <f t="shared" si="59"/>
        <v>24445.440219308748</v>
      </c>
      <c r="V130" s="64">
        <f t="shared" si="59"/>
        <v>19556.352175446998</v>
      </c>
      <c r="W130" s="64">
        <f t="shared" si="59"/>
        <v>14667.264131585249</v>
      </c>
      <c r="X130" s="64">
        <f t="shared" si="59"/>
        <v>9778.1760877234992</v>
      </c>
      <c r="Y130" s="64">
        <f t="shared" si="59"/>
        <v>4889.088043861746</v>
      </c>
      <c r="Z130" s="64">
        <f t="shared" si="59"/>
        <v>0</v>
      </c>
      <c r="AA130" s="64">
        <f t="shared" si="59"/>
        <v>0</v>
      </c>
      <c r="AB130" s="64">
        <f t="shared" si="59"/>
        <v>0</v>
      </c>
      <c r="AC130" s="64">
        <f t="shared" si="45"/>
        <v>0</v>
      </c>
      <c r="AD130" s="64"/>
      <c r="AE130" s="64"/>
      <c r="AF130" s="64"/>
      <c r="AG130" s="64"/>
      <c r="AH130" s="64"/>
      <c r="AI130" s="64"/>
      <c r="AJ130" s="64"/>
      <c r="AK130" s="64"/>
      <c r="AL130" s="64"/>
      <c r="AM130" s="64"/>
      <c r="AN130" s="64"/>
    </row>
    <row r="131" spans="2:40" hidden="1" outlineLevel="1" x14ac:dyDescent="0.2">
      <c r="B131" t="s">
        <v>9</v>
      </c>
      <c r="S131" s="64"/>
      <c r="T131" s="64">
        <f t="shared" ref="T131:AB131" si="60">+T77-T104</f>
        <v>33713.46567292745</v>
      </c>
      <c r="U131" s="64">
        <f t="shared" si="60"/>
        <v>28897.25629108067</v>
      </c>
      <c r="V131" s="64">
        <f t="shared" si="60"/>
        <v>24081.04690923389</v>
      </c>
      <c r="W131" s="64">
        <f t="shared" si="60"/>
        <v>19264.837527387113</v>
      </c>
      <c r="X131" s="64">
        <f t="shared" si="60"/>
        <v>14448.628145540337</v>
      </c>
      <c r="Y131" s="64">
        <f t="shared" si="60"/>
        <v>9632.4187636935603</v>
      </c>
      <c r="Z131" s="64">
        <f t="shared" si="60"/>
        <v>4816.2093818467838</v>
      </c>
      <c r="AA131" s="64">
        <f t="shared" si="60"/>
        <v>0</v>
      </c>
      <c r="AB131" s="64">
        <f t="shared" si="60"/>
        <v>0</v>
      </c>
      <c r="AC131" s="64">
        <f t="shared" si="45"/>
        <v>0</v>
      </c>
      <c r="AD131" s="64"/>
      <c r="AE131" s="64"/>
      <c r="AF131" s="64"/>
      <c r="AG131" s="64"/>
      <c r="AH131" s="64"/>
      <c r="AI131" s="64"/>
      <c r="AJ131" s="64"/>
      <c r="AK131" s="64"/>
      <c r="AL131" s="64"/>
      <c r="AM131" s="64"/>
      <c r="AN131" s="64"/>
    </row>
    <row r="132" spans="2:40" hidden="1" outlineLevel="1" x14ac:dyDescent="0.2">
      <c r="B132" t="s">
        <v>10</v>
      </c>
      <c r="S132" s="64"/>
      <c r="T132" s="64"/>
      <c r="U132" s="64">
        <f t="shared" ref="U132:AB132" si="61">+U78-U105</f>
        <v>37542.045562755156</v>
      </c>
      <c r="V132" s="64">
        <f t="shared" si="61"/>
        <v>32178.896196647278</v>
      </c>
      <c r="W132" s="64">
        <f t="shared" si="61"/>
        <v>26815.746830539396</v>
      </c>
      <c r="X132" s="64">
        <f t="shared" si="61"/>
        <v>21452.597464431517</v>
      </c>
      <c r="Y132" s="64">
        <f t="shared" si="61"/>
        <v>16089.448098323639</v>
      </c>
      <c r="Z132" s="64">
        <f t="shared" si="61"/>
        <v>10726.298732215761</v>
      </c>
      <c r="AA132" s="64">
        <f t="shared" si="61"/>
        <v>5363.1493661078784</v>
      </c>
      <c r="AB132" s="64">
        <f t="shared" si="61"/>
        <v>0</v>
      </c>
      <c r="AC132" s="64">
        <f t="shared" si="45"/>
        <v>0</v>
      </c>
      <c r="AD132" s="64"/>
      <c r="AE132" s="64"/>
      <c r="AF132" s="64"/>
      <c r="AG132" s="64"/>
      <c r="AH132" s="64"/>
      <c r="AI132" s="64"/>
      <c r="AJ132" s="64"/>
      <c r="AK132" s="64"/>
      <c r="AL132" s="64"/>
      <c r="AM132" s="64"/>
      <c r="AN132" s="64"/>
    </row>
    <row r="133" spans="2:40" hidden="1" outlineLevel="1" x14ac:dyDescent="0.2">
      <c r="B133" t="s">
        <v>11</v>
      </c>
      <c r="S133" s="64"/>
      <c r="T133" s="64"/>
      <c r="U133" s="64"/>
      <c r="V133" s="64">
        <f t="shared" ref="V133:AB133" si="62">+V79-V106</f>
        <v>39465.967749510331</v>
      </c>
      <c r="W133" s="64">
        <f t="shared" si="62"/>
        <v>33827.972356723141</v>
      </c>
      <c r="X133" s="64">
        <f t="shared" si="62"/>
        <v>28189.976963935951</v>
      </c>
      <c r="Y133" s="64">
        <f t="shared" si="62"/>
        <v>22551.981571148761</v>
      </c>
      <c r="Z133" s="64">
        <f t="shared" si="62"/>
        <v>16913.986178361571</v>
      </c>
      <c r="AA133" s="64">
        <f t="shared" si="62"/>
        <v>11275.99078557438</v>
      </c>
      <c r="AB133" s="64">
        <f t="shared" si="62"/>
        <v>5637.9953927871902</v>
      </c>
      <c r="AC133" s="64">
        <f t="shared" si="45"/>
        <v>0</v>
      </c>
      <c r="AD133" s="64"/>
      <c r="AE133" s="64"/>
      <c r="AF133" s="64"/>
      <c r="AG133" s="64"/>
      <c r="AH133" s="64"/>
      <c r="AI133" s="64"/>
      <c r="AJ133" s="64"/>
      <c r="AK133" s="64"/>
      <c r="AL133" s="64"/>
      <c r="AM133" s="64"/>
      <c r="AN133" s="64"/>
    </row>
    <row r="134" spans="2:40" hidden="1" outlineLevel="1" x14ac:dyDescent="0.2">
      <c r="B134" t="s">
        <v>12</v>
      </c>
      <c r="S134" s="64"/>
      <c r="T134" s="64"/>
      <c r="U134" s="64"/>
      <c r="V134" s="64"/>
      <c r="W134" s="64">
        <f t="shared" ref="W134:AB134" si="63">+W80-W107</f>
        <v>40814.514197873425</v>
      </c>
      <c r="X134" s="64">
        <f t="shared" si="63"/>
        <v>34983.869312462935</v>
      </c>
      <c r="Y134" s="64">
        <f t="shared" si="63"/>
        <v>29153.224427052446</v>
      </c>
      <c r="Z134" s="64">
        <f t="shared" si="63"/>
        <v>23322.579541641957</v>
      </c>
      <c r="AA134" s="64">
        <f t="shared" si="63"/>
        <v>17491.934656231468</v>
      </c>
      <c r="AB134" s="64">
        <f t="shared" si="63"/>
        <v>11661.289770820978</v>
      </c>
      <c r="AC134" s="64">
        <f t="shared" si="45"/>
        <v>5830.6448854104892</v>
      </c>
      <c r="AD134" s="64"/>
      <c r="AE134" s="64"/>
      <c r="AF134" s="64"/>
      <c r="AG134" s="64"/>
      <c r="AH134" s="64"/>
      <c r="AI134" s="64"/>
      <c r="AJ134" s="64"/>
      <c r="AK134" s="64"/>
      <c r="AL134" s="64"/>
      <c r="AM134" s="64"/>
      <c r="AN134" s="64"/>
    </row>
    <row r="135" spans="2:40" hidden="1" outlineLevel="1" x14ac:dyDescent="0.2">
      <c r="B135" t="s">
        <v>13</v>
      </c>
      <c r="S135" s="64"/>
      <c r="T135" s="64"/>
      <c r="U135" s="64"/>
      <c r="V135" s="64"/>
      <c r="W135" s="64"/>
      <c r="X135" s="64">
        <f t="shared" ref="X135:AC135" si="64">+X81-X108</f>
        <v>46618.731243834322</v>
      </c>
      <c r="Y135" s="64">
        <f t="shared" si="64"/>
        <v>39958.912494715136</v>
      </c>
      <c r="Z135" s="64">
        <f t="shared" si="64"/>
        <v>33299.09374559595</v>
      </c>
      <c r="AA135" s="64">
        <f t="shared" si="64"/>
        <v>26639.274996476757</v>
      </c>
      <c r="AB135" s="64">
        <f t="shared" si="64"/>
        <v>19979.456247357564</v>
      </c>
      <c r="AC135" s="64">
        <f t="shared" si="64"/>
        <v>13319.637498238371</v>
      </c>
      <c r="AD135" s="64"/>
      <c r="AE135" s="64"/>
      <c r="AF135" s="64"/>
      <c r="AG135" s="64"/>
      <c r="AH135" s="64"/>
      <c r="AI135" s="64"/>
      <c r="AJ135" s="64"/>
      <c r="AK135" s="64"/>
      <c r="AL135" s="64"/>
      <c r="AM135" s="64"/>
      <c r="AN135" s="64"/>
    </row>
    <row r="136" spans="2:40" hidden="1" outlineLevel="1" x14ac:dyDescent="0.2">
      <c r="B136" t="s">
        <v>14</v>
      </c>
      <c r="S136" s="64"/>
      <c r="T136" s="64"/>
      <c r="U136" s="64"/>
      <c r="V136" s="64"/>
      <c r="W136" s="64"/>
      <c r="X136" s="64"/>
      <c r="Y136" s="64">
        <f>+Y82-Y109</f>
        <v>52944.865919324177</v>
      </c>
      <c r="Z136" s="64">
        <f>+Z82-Z109</f>
        <v>45381.313645135007</v>
      </c>
      <c r="AA136" s="64">
        <f>+AA82-AA109</f>
        <v>37817.761370945838</v>
      </c>
      <c r="AB136" s="64">
        <f>+AB82-AB109</f>
        <v>30254.209096756673</v>
      </c>
      <c r="AC136" s="64">
        <f>+AC82-AC109</f>
        <v>22690.656822567507</v>
      </c>
      <c r="AD136" s="64"/>
      <c r="AE136" s="64"/>
      <c r="AF136" s="64"/>
      <c r="AG136" s="64"/>
      <c r="AH136" s="64"/>
      <c r="AI136" s="64"/>
      <c r="AJ136" s="64"/>
      <c r="AK136" s="64"/>
      <c r="AL136" s="64"/>
      <c r="AM136" s="64"/>
      <c r="AN136" s="64"/>
    </row>
    <row r="137" spans="2:40" hidden="1" outlineLevel="1" x14ac:dyDescent="0.2">
      <c r="B137" t="s">
        <v>15</v>
      </c>
      <c r="S137" s="64"/>
      <c r="T137" s="64"/>
      <c r="U137" s="64"/>
      <c r="V137" s="64"/>
      <c r="W137" s="64"/>
      <c r="X137" s="64"/>
      <c r="Y137" s="64"/>
      <c r="Z137" s="64">
        <f>+Z83-Z110</f>
        <v>59800.8074213043</v>
      </c>
      <c r="AA137" s="64">
        <f>+AA83-AA110</f>
        <v>51257.834932546546</v>
      </c>
      <c r="AB137" s="64">
        <f>+AB83-AB110</f>
        <v>42714.862443788792</v>
      </c>
      <c r="AC137" s="64">
        <f>+AC83-AC110</f>
        <v>34171.889955031031</v>
      </c>
      <c r="AD137" s="64"/>
      <c r="AE137" s="64"/>
      <c r="AF137" s="64"/>
      <c r="AG137" s="64"/>
      <c r="AH137" s="64"/>
      <c r="AI137" s="64"/>
      <c r="AJ137" s="64"/>
      <c r="AK137" s="64"/>
      <c r="AL137" s="64"/>
      <c r="AM137" s="64"/>
      <c r="AN137" s="64"/>
    </row>
    <row r="138" spans="2:40" hidden="1" outlineLevel="1" x14ac:dyDescent="0.2">
      <c r="B138" t="s">
        <v>325</v>
      </c>
      <c r="S138" s="64"/>
      <c r="T138" s="64"/>
      <c r="U138" s="64"/>
      <c r="V138" s="64"/>
      <c r="W138" s="64"/>
      <c r="X138" s="64"/>
      <c r="Y138" s="64"/>
      <c r="Z138" s="64"/>
      <c r="AA138" s="64">
        <f>+AA84-AA111</f>
        <v>67188.789733212427</v>
      </c>
      <c r="AB138" s="64">
        <f>+AB84-AB111</f>
        <v>57590.391199896374</v>
      </c>
      <c r="AC138" s="64">
        <f>+AC84-AC111</f>
        <v>47991.992666580307</v>
      </c>
      <c r="AD138" s="64"/>
      <c r="AE138" s="64"/>
      <c r="AF138" s="64"/>
      <c r="AG138" s="64"/>
      <c r="AH138" s="64"/>
      <c r="AI138" s="64"/>
      <c r="AJ138" s="64"/>
      <c r="AK138" s="64"/>
      <c r="AL138" s="64"/>
      <c r="AM138" s="64"/>
      <c r="AN138" s="64"/>
    </row>
    <row r="139" spans="2:40" hidden="1" outlineLevel="1" x14ac:dyDescent="0.2">
      <c r="B139" t="s">
        <v>346</v>
      </c>
      <c r="S139" s="64"/>
      <c r="T139" s="64"/>
      <c r="U139" s="64"/>
      <c r="V139" s="64"/>
      <c r="W139" s="64"/>
      <c r="X139" s="64"/>
      <c r="Y139" s="64"/>
      <c r="Z139" s="64"/>
      <c r="AA139" s="64"/>
      <c r="AB139" s="64">
        <f>+AB85-AB112</f>
        <v>75104.725448998142</v>
      </c>
      <c r="AC139" s="64">
        <f>+AC85-AC112</f>
        <v>64375.478956284125</v>
      </c>
      <c r="AD139" s="64"/>
      <c r="AE139" s="64"/>
      <c r="AF139" s="64"/>
      <c r="AG139" s="64"/>
      <c r="AH139" s="64"/>
      <c r="AI139" s="64"/>
      <c r="AJ139" s="64"/>
      <c r="AK139" s="64"/>
      <c r="AL139" s="64"/>
      <c r="AM139" s="64"/>
      <c r="AN139" s="64"/>
    </row>
    <row r="140" spans="2:40" hidden="1" outlineLevel="1" x14ac:dyDescent="0.2">
      <c r="B140" t="s">
        <v>426</v>
      </c>
      <c r="S140" s="64"/>
      <c r="T140" s="64"/>
      <c r="U140" s="64"/>
      <c r="V140" s="64"/>
      <c r="W140" s="64"/>
      <c r="X140" s="64"/>
      <c r="Y140" s="64"/>
      <c r="Z140" s="64"/>
      <c r="AA140" s="64"/>
      <c r="AB140" s="64"/>
      <c r="AC140" s="64">
        <f>+AC86-AC113</f>
        <v>83537.594527145731</v>
      </c>
      <c r="AD140" s="64"/>
      <c r="AE140" s="64"/>
      <c r="AF140" s="64"/>
      <c r="AG140" s="64"/>
      <c r="AH140" s="64"/>
      <c r="AI140" s="64"/>
      <c r="AJ140" s="64"/>
      <c r="AK140" s="64"/>
      <c r="AL140" s="64"/>
      <c r="AM140" s="64"/>
      <c r="AN140" s="64"/>
    </row>
    <row r="141" spans="2:40" collapsed="1" x14ac:dyDescent="0.2"/>
    <row r="142" spans="2:40" x14ac:dyDescent="0.2">
      <c r="B142" s="52" t="s">
        <v>390</v>
      </c>
      <c r="C142" s="53"/>
    </row>
    <row r="144" spans="2:40" x14ac:dyDescent="0.2">
      <c r="B144" s="54" t="s">
        <v>391</v>
      </c>
    </row>
    <row r="145" spans="2:29" x14ac:dyDescent="0.2">
      <c r="B145" t="s">
        <v>401</v>
      </c>
      <c r="D145" s="81">
        <v>29</v>
      </c>
      <c r="E145" s="81">
        <v>34</v>
      </c>
      <c r="F145" s="81">
        <v>36</v>
      </c>
      <c r="G145" s="81">
        <v>45</v>
      </c>
      <c r="H145" s="81">
        <v>153</v>
      </c>
      <c r="I145" s="81">
        <v>596</v>
      </c>
      <c r="J145" s="81">
        <v>696</v>
      </c>
      <c r="K145" s="81">
        <v>798</v>
      </c>
      <c r="L145" s="81">
        <v>899</v>
      </c>
      <c r="M145" s="81">
        <v>1097</v>
      </c>
      <c r="N145" s="81">
        <v>1326</v>
      </c>
      <c r="O145" s="81">
        <v>1688</v>
      </c>
      <c r="P145" s="81">
        <v>1874</v>
      </c>
      <c r="Q145" s="81">
        <v>2080</v>
      </c>
    </row>
    <row r="146" spans="2:29" x14ac:dyDescent="0.2">
      <c r="B146" t="s">
        <v>405</v>
      </c>
      <c r="D146" s="81">
        <v>478</v>
      </c>
      <c r="E146" s="81">
        <v>1016</v>
      </c>
      <c r="F146" s="81">
        <v>1912</v>
      </c>
      <c r="G146" s="81">
        <v>2351</v>
      </c>
      <c r="H146" s="81">
        <v>3020</v>
      </c>
      <c r="I146" s="81">
        <v>3633</v>
      </c>
      <c r="J146" s="81">
        <v>5179</v>
      </c>
      <c r="K146" s="81">
        <v>7998</v>
      </c>
      <c r="L146" s="81">
        <v>13017</v>
      </c>
      <c r="M146" s="81">
        <v>17004</v>
      </c>
      <c r="N146" s="81">
        <v>22003</v>
      </c>
      <c r="O146" s="81">
        <v>25584</v>
      </c>
      <c r="P146" s="81">
        <v>34330</v>
      </c>
      <c r="Q146" s="81">
        <v>46838</v>
      </c>
    </row>
    <row r="147" spans="2:29" x14ac:dyDescent="0.2">
      <c r="B147" t="s">
        <v>402</v>
      </c>
      <c r="D147" s="81">
        <v>0</v>
      </c>
      <c r="E147" s="81">
        <v>355</v>
      </c>
      <c r="F147" s="81">
        <v>594</v>
      </c>
      <c r="G147" s="81">
        <v>1071</v>
      </c>
      <c r="H147" s="81">
        <v>1420</v>
      </c>
      <c r="I147" s="81">
        <v>2273</v>
      </c>
      <c r="J147" s="81">
        <v>3109</v>
      </c>
      <c r="K147" s="81">
        <v>4909</v>
      </c>
      <c r="L147" s="81">
        <v>7401</v>
      </c>
      <c r="M147" s="81">
        <v>11226</v>
      </c>
      <c r="N147" s="81">
        <v>17360</v>
      </c>
      <c r="O147" s="81">
        <v>22531</v>
      </c>
      <c r="P147" s="81">
        <v>27720</v>
      </c>
      <c r="Q147" s="81">
        <v>37961</v>
      </c>
    </row>
    <row r="148" spans="2:29" x14ac:dyDescent="0.2">
      <c r="B148" t="s">
        <v>406</v>
      </c>
      <c r="D148" s="81">
        <v>58</v>
      </c>
      <c r="E148" s="81">
        <v>120</v>
      </c>
      <c r="F148" s="81">
        <v>194</v>
      </c>
      <c r="G148" s="81">
        <v>203</v>
      </c>
      <c r="H148" s="81">
        <v>304</v>
      </c>
      <c r="I148" s="81">
        <v>447</v>
      </c>
      <c r="J148" s="81">
        <v>531</v>
      </c>
      <c r="K148" s="81">
        <v>959</v>
      </c>
      <c r="L148" s="81">
        <v>1841</v>
      </c>
      <c r="M148" s="81">
        <v>3112</v>
      </c>
      <c r="N148" s="81">
        <v>4321</v>
      </c>
      <c r="O148" s="81">
        <v>5795</v>
      </c>
      <c r="P148" s="81">
        <v>6522</v>
      </c>
      <c r="Q148" s="81">
        <v>6972</v>
      </c>
    </row>
    <row r="149" spans="2:29" x14ac:dyDescent="0.2">
      <c r="B149" t="s">
        <v>407</v>
      </c>
      <c r="D149" s="81">
        <v>61</v>
      </c>
      <c r="E149" s="81">
        <v>73</v>
      </c>
      <c r="F149" s="81">
        <v>93</v>
      </c>
      <c r="G149" s="81">
        <v>95</v>
      </c>
      <c r="H149" s="81">
        <v>149</v>
      </c>
      <c r="I149" s="81">
        <v>248</v>
      </c>
      <c r="J149" s="81">
        <v>398</v>
      </c>
      <c r="K149" s="81">
        <v>681</v>
      </c>
      <c r="L149" s="81">
        <v>1187</v>
      </c>
      <c r="M149" s="81">
        <v>1813</v>
      </c>
      <c r="N149" s="81">
        <v>2458</v>
      </c>
      <c r="O149" s="81">
        <v>4764</v>
      </c>
      <c r="P149" s="81">
        <v>5642</v>
      </c>
      <c r="Q149" s="81">
        <v>7416</v>
      </c>
    </row>
    <row r="150" spans="2:29" x14ac:dyDescent="0.2">
      <c r="B150" t="s">
        <v>408</v>
      </c>
      <c r="D150" s="81">
        <v>0</v>
      </c>
      <c r="E150" s="81">
        <v>0</v>
      </c>
      <c r="F150" s="81">
        <v>0</v>
      </c>
      <c r="G150" s="81">
        <v>0</v>
      </c>
      <c r="H150" s="81">
        <v>0</v>
      </c>
      <c r="I150" s="81">
        <v>0</v>
      </c>
      <c r="J150" s="81">
        <v>0</v>
      </c>
      <c r="K150" s="81">
        <v>0</v>
      </c>
      <c r="L150" s="81">
        <v>0</v>
      </c>
      <c r="M150" s="81">
        <v>1635</v>
      </c>
      <c r="N150" s="81">
        <v>2295</v>
      </c>
      <c r="O150" s="81">
        <v>2840</v>
      </c>
      <c r="P150" s="81">
        <v>3353</v>
      </c>
      <c r="Q150" s="81">
        <v>4185</v>
      </c>
    </row>
    <row r="151" spans="2:29" ht="13.5" x14ac:dyDescent="0.35">
      <c r="B151" t="s">
        <v>409</v>
      </c>
      <c r="D151" s="82">
        <v>194</v>
      </c>
      <c r="E151" s="82">
        <v>327</v>
      </c>
      <c r="F151" s="82">
        <v>444</v>
      </c>
      <c r="G151" s="82">
        <v>377</v>
      </c>
      <c r="H151" s="82">
        <v>738</v>
      </c>
      <c r="I151" s="82">
        <v>622</v>
      </c>
      <c r="J151" s="82">
        <v>1890</v>
      </c>
      <c r="K151" s="82">
        <v>2992</v>
      </c>
      <c r="L151" s="82">
        <v>7228</v>
      </c>
      <c r="M151" s="82">
        <v>10099</v>
      </c>
      <c r="N151" s="82">
        <v>11288</v>
      </c>
      <c r="O151" s="82">
        <v>14687</v>
      </c>
      <c r="P151" s="82">
        <v>25052</v>
      </c>
      <c r="Q151" s="82">
        <v>24269</v>
      </c>
    </row>
    <row r="152" spans="2:29" s="44" customFormat="1" x14ac:dyDescent="0.2">
      <c r="B152" s="110" t="s">
        <v>392</v>
      </c>
      <c r="D152" s="111">
        <f t="shared" ref="D152:Q152" si="65">SUM(D145:D151)</f>
        <v>820</v>
      </c>
      <c r="E152" s="111">
        <f t="shared" si="65"/>
        <v>1925</v>
      </c>
      <c r="F152" s="111">
        <f t="shared" si="65"/>
        <v>3273</v>
      </c>
      <c r="G152" s="111">
        <f t="shared" si="65"/>
        <v>4142</v>
      </c>
      <c r="H152" s="111">
        <f t="shared" si="65"/>
        <v>5784</v>
      </c>
      <c r="I152" s="111">
        <f t="shared" si="65"/>
        <v>7819</v>
      </c>
      <c r="J152" s="111">
        <f t="shared" si="65"/>
        <v>11803</v>
      </c>
      <c r="K152" s="111">
        <f t="shared" si="65"/>
        <v>18337</v>
      </c>
      <c r="L152" s="111">
        <f t="shared" si="65"/>
        <v>31573</v>
      </c>
      <c r="M152" s="111">
        <f t="shared" si="65"/>
        <v>45986</v>
      </c>
      <c r="N152" s="111">
        <f t="shared" si="65"/>
        <v>61051</v>
      </c>
      <c r="O152" s="111">
        <f t="shared" si="65"/>
        <v>77889</v>
      </c>
      <c r="P152" s="111">
        <f t="shared" si="65"/>
        <v>104493</v>
      </c>
      <c r="Q152" s="111">
        <f t="shared" si="65"/>
        <v>129721</v>
      </c>
      <c r="R152" s="111">
        <f>+R159</f>
        <v>165439.79805041035</v>
      </c>
      <c r="S152" s="111">
        <f t="shared" ref="S152:AC152" si="66">+S159</f>
        <v>208577.95725881227</v>
      </c>
      <c r="T152" s="111">
        <f t="shared" si="66"/>
        <v>253113.14642013304</v>
      </c>
      <c r="U152" s="111">
        <f t="shared" si="66"/>
        <v>301035.24007332523</v>
      </c>
      <c r="V152" s="111">
        <f t="shared" si="66"/>
        <v>349623.96622626419</v>
      </c>
      <c r="W152" s="111">
        <f t="shared" si="66"/>
        <v>398151.28709593246</v>
      </c>
      <c r="X152" s="111">
        <f t="shared" si="66"/>
        <v>452553.65362173988</v>
      </c>
      <c r="Y152" s="111">
        <f t="shared" si="66"/>
        <v>513295.59499074682</v>
      </c>
      <c r="Z152" s="111">
        <f t="shared" si="66"/>
        <v>580841.87268598576</v>
      </c>
      <c r="AA152" s="111">
        <f t="shared" si="66"/>
        <v>655651.36000849027</v>
      </c>
      <c r="AB152" s="111">
        <f t="shared" si="66"/>
        <v>738170.27465415851</v>
      </c>
      <c r="AC152" s="111">
        <f t="shared" si="66"/>
        <v>828824.8316528023</v>
      </c>
    </row>
    <row r="153" spans="2:29" s="44" customFormat="1" x14ac:dyDescent="0.2">
      <c r="B153" s="60" t="s">
        <v>528</v>
      </c>
      <c r="D153" s="111"/>
      <c r="E153" s="111"/>
      <c r="F153" s="111"/>
      <c r="G153" s="95">
        <f>+G152-G151</f>
        <v>3765</v>
      </c>
      <c r="H153" s="95">
        <f t="shared" ref="H153:Q153" si="67">+H152-H151</f>
        <v>5046</v>
      </c>
      <c r="I153" s="95">
        <f t="shared" si="67"/>
        <v>7197</v>
      </c>
      <c r="J153" s="95">
        <f t="shared" si="67"/>
        <v>9913</v>
      </c>
      <c r="K153" s="95">
        <f t="shared" si="67"/>
        <v>15345</v>
      </c>
      <c r="L153" s="95">
        <f t="shared" si="67"/>
        <v>24345</v>
      </c>
      <c r="M153" s="95">
        <f t="shared" si="67"/>
        <v>35887</v>
      </c>
      <c r="N153" s="95">
        <f t="shared" si="67"/>
        <v>49763</v>
      </c>
      <c r="O153" s="95">
        <f t="shared" si="67"/>
        <v>63202</v>
      </c>
      <c r="P153" s="95">
        <f t="shared" si="67"/>
        <v>79441</v>
      </c>
      <c r="Q153" s="95">
        <f t="shared" si="67"/>
        <v>105452</v>
      </c>
      <c r="R153" s="95">
        <f>+Q153+R21</f>
        <v>139629.03271523811</v>
      </c>
      <c r="S153" s="95">
        <f t="shared" ref="S153:AC153" si="68">+R153+S21</f>
        <v>178741.7370661321</v>
      </c>
      <c r="T153" s="95">
        <f t="shared" si="68"/>
        <v>217271.41212090635</v>
      </c>
      <c r="U153" s="95">
        <f t="shared" si="68"/>
        <v>260176.60704976937</v>
      </c>
      <c r="V153" s="95">
        <f t="shared" si="68"/>
        <v>305280.57019206689</v>
      </c>
      <c r="W153" s="95">
        <f t="shared" si="68"/>
        <v>351925.72927535081</v>
      </c>
      <c r="X153" s="95">
        <f t="shared" si="68"/>
        <v>405204.27926830435</v>
      </c>
      <c r="Y153" s="95">
        <f t="shared" si="68"/>
        <v>465712.6974618177</v>
      </c>
      <c r="Z153" s="95">
        <f t="shared" si="68"/>
        <v>534056.47737187974</v>
      </c>
      <c r="AA153" s="95">
        <f t="shared" si="68"/>
        <v>610843.66563840827</v>
      </c>
      <c r="AB153" s="95">
        <f t="shared" si="68"/>
        <v>696677.63758012047</v>
      </c>
      <c r="AC153" s="95">
        <f t="shared" si="68"/>
        <v>792149.17418257275</v>
      </c>
    </row>
    <row r="154" spans="2:29" s="44" customFormat="1" x14ac:dyDescent="0.2">
      <c r="B154" s="110"/>
      <c r="O154" s="111"/>
      <c r="P154" s="111"/>
      <c r="Q154" s="111"/>
    </row>
    <row r="155" spans="2:29" s="44" customFormat="1" x14ac:dyDescent="0.2">
      <c r="B155" t="s">
        <v>393</v>
      </c>
      <c r="D155" s="64"/>
      <c r="E155" s="64">
        <f>+D152</f>
        <v>820</v>
      </c>
      <c r="F155" s="64">
        <f t="shared" ref="F155:Q155" si="69">+E152</f>
        <v>1925</v>
      </c>
      <c r="G155" s="64">
        <f t="shared" si="69"/>
        <v>3273</v>
      </c>
      <c r="H155" s="64">
        <f t="shared" si="69"/>
        <v>4142</v>
      </c>
      <c r="I155" s="64">
        <f t="shared" si="69"/>
        <v>5784</v>
      </c>
      <c r="J155" s="64">
        <f t="shared" si="69"/>
        <v>7819</v>
      </c>
      <c r="K155" s="64">
        <f t="shared" si="69"/>
        <v>11803</v>
      </c>
      <c r="L155" s="64">
        <f t="shared" si="69"/>
        <v>18337</v>
      </c>
      <c r="M155" s="64">
        <f t="shared" si="69"/>
        <v>31573</v>
      </c>
      <c r="N155" s="64">
        <f t="shared" si="69"/>
        <v>45986</v>
      </c>
      <c r="O155" s="64">
        <f t="shared" si="69"/>
        <v>61051</v>
      </c>
      <c r="P155" s="64">
        <f t="shared" si="69"/>
        <v>77889</v>
      </c>
      <c r="Q155" s="64">
        <f t="shared" si="69"/>
        <v>104493</v>
      </c>
      <c r="R155" s="64">
        <f>+Q159</f>
        <v>129721</v>
      </c>
      <c r="S155" s="64">
        <f t="shared" ref="S155:AC155" si="70">+R159</f>
        <v>165439.79805041035</v>
      </c>
      <c r="T155" s="64">
        <f t="shared" si="70"/>
        <v>208577.95725881227</v>
      </c>
      <c r="U155" s="64">
        <f t="shared" si="70"/>
        <v>253113.14642013304</v>
      </c>
      <c r="V155" s="64">
        <f t="shared" si="70"/>
        <v>301035.24007332523</v>
      </c>
      <c r="W155" s="64">
        <f t="shared" si="70"/>
        <v>349623.96622626419</v>
      </c>
      <c r="X155" s="64">
        <f t="shared" si="70"/>
        <v>398151.28709593246</v>
      </c>
      <c r="Y155" s="64">
        <f t="shared" si="70"/>
        <v>452553.65362173988</v>
      </c>
      <c r="Z155" s="64">
        <f t="shared" si="70"/>
        <v>513295.59499074682</v>
      </c>
      <c r="AA155" s="64">
        <f t="shared" si="70"/>
        <v>580841.87268598576</v>
      </c>
      <c r="AB155" s="64">
        <f t="shared" si="70"/>
        <v>655651.36000849027</v>
      </c>
      <c r="AC155" s="64">
        <f t="shared" si="70"/>
        <v>738170.27465415851</v>
      </c>
    </row>
    <row r="156" spans="2:29" s="44" customFormat="1" x14ac:dyDescent="0.2">
      <c r="B156" t="s">
        <v>376</v>
      </c>
      <c r="D156" s="81"/>
      <c r="E156" s="81">
        <v>606</v>
      </c>
      <c r="F156" s="81">
        <v>1235</v>
      </c>
      <c r="G156" s="81">
        <v>1362</v>
      </c>
      <c r="H156" s="81">
        <v>1831</v>
      </c>
      <c r="I156" s="81">
        <v>2523</v>
      </c>
      <c r="J156" s="81">
        <v>4491</v>
      </c>
      <c r="K156" s="81">
        <v>6733</v>
      </c>
      <c r="L156" s="81">
        <v>13915</v>
      </c>
      <c r="M156" s="81">
        <v>15102</v>
      </c>
      <c r="N156" s="81">
        <v>15115</v>
      </c>
      <c r="O156" s="81">
        <v>18567</v>
      </c>
      <c r="P156" s="81">
        <v>31431</v>
      </c>
      <c r="Q156" s="81">
        <v>27266</v>
      </c>
      <c r="R156" s="64">
        <f>+R17</f>
        <v>37974.480794708994</v>
      </c>
      <c r="S156" s="64">
        <f t="shared" ref="S156:AC156" si="71">+S17</f>
        <v>46014.946295169408</v>
      </c>
      <c r="T156" s="64">
        <f t="shared" si="71"/>
        <v>48162.09381846778</v>
      </c>
      <c r="U156" s="64">
        <f t="shared" si="71"/>
        <v>52323.408449832968</v>
      </c>
      <c r="V156" s="64">
        <f t="shared" si="71"/>
        <v>53823.3450385412</v>
      </c>
      <c r="W156" s="64">
        <f t="shared" si="71"/>
        <v>54606.835733181826</v>
      </c>
      <c r="X156" s="64">
        <f t="shared" si="71"/>
        <v>61325.709607672274</v>
      </c>
      <c r="Y156" s="64">
        <f t="shared" si="71"/>
        <v>68611.272220171115</v>
      </c>
      <c r="Z156" s="64">
        <f t="shared" si="71"/>
        <v>76471.833436754518</v>
      </c>
      <c r="AA156" s="64">
        <f t="shared" si="71"/>
        <v>84909.586684858295</v>
      </c>
      <c r="AB156" s="64">
        <f t="shared" si="71"/>
        <v>93919.855580806732</v>
      </c>
      <c r="AC156" s="64">
        <f t="shared" si="71"/>
        <v>103490.39661514061</v>
      </c>
    </row>
    <row r="157" spans="2:29" s="44" customFormat="1" x14ac:dyDescent="0.2">
      <c r="B157" t="s">
        <v>377</v>
      </c>
      <c r="D157" s="81"/>
      <c r="E157" s="81">
        <v>0</v>
      </c>
      <c r="F157" s="81">
        <v>0</v>
      </c>
      <c r="G157" s="81">
        <v>0</v>
      </c>
      <c r="H157" s="81">
        <v>0</v>
      </c>
      <c r="I157" s="81">
        <v>0</v>
      </c>
      <c r="J157" s="81">
        <v>0</v>
      </c>
      <c r="K157" s="81">
        <v>0</v>
      </c>
      <c r="L157" s="81">
        <v>0</v>
      </c>
      <c r="M157" s="81">
        <v>0</v>
      </c>
      <c r="N157" s="81">
        <v>0</v>
      </c>
      <c r="O157" s="81">
        <v>0</v>
      </c>
      <c r="P157" s="81">
        <v>-245</v>
      </c>
      <c r="Q157" s="81">
        <v>-221</v>
      </c>
      <c r="R157" s="111">
        <f>+R18</f>
        <v>0</v>
      </c>
      <c r="S157" s="111">
        <f t="shared" ref="S157:AC157" si="72">+S18</f>
        <v>0</v>
      </c>
      <c r="T157" s="111">
        <f t="shared" si="72"/>
        <v>0</v>
      </c>
      <c r="U157" s="111">
        <f t="shared" si="72"/>
        <v>0</v>
      </c>
      <c r="V157" s="111">
        <f t="shared" si="72"/>
        <v>0</v>
      </c>
      <c r="W157" s="111">
        <f t="shared" si="72"/>
        <v>0</v>
      </c>
      <c r="X157" s="111">
        <f t="shared" si="72"/>
        <v>0</v>
      </c>
      <c r="Y157" s="111">
        <f t="shared" si="72"/>
        <v>0</v>
      </c>
      <c r="Z157" s="111">
        <f t="shared" si="72"/>
        <v>0</v>
      </c>
      <c r="AA157" s="111">
        <f t="shared" si="72"/>
        <v>0</v>
      </c>
      <c r="AB157" s="111">
        <f t="shared" si="72"/>
        <v>0</v>
      </c>
      <c r="AC157" s="111">
        <f t="shared" si="72"/>
        <v>0</v>
      </c>
    </row>
    <row r="158" spans="2:29" s="44" customFormat="1" ht="13.5" x14ac:dyDescent="0.35">
      <c r="B158" t="s">
        <v>33</v>
      </c>
      <c r="D158" s="65"/>
      <c r="E158" s="65">
        <f t="shared" ref="E158:Q158" si="73">+E159-SUM(E155:E157)</f>
        <v>499</v>
      </c>
      <c r="F158" s="65">
        <f t="shared" si="73"/>
        <v>113</v>
      </c>
      <c r="G158" s="65">
        <f t="shared" si="73"/>
        <v>-493</v>
      </c>
      <c r="H158" s="65">
        <f t="shared" si="73"/>
        <v>-189</v>
      </c>
      <c r="I158" s="65">
        <f t="shared" si="73"/>
        <v>-488</v>
      </c>
      <c r="J158" s="65">
        <f t="shared" si="73"/>
        <v>-507</v>
      </c>
      <c r="K158" s="65">
        <f t="shared" si="73"/>
        <v>-199</v>
      </c>
      <c r="L158" s="65">
        <f t="shared" si="73"/>
        <v>-679</v>
      </c>
      <c r="M158" s="65">
        <f t="shared" si="73"/>
        <v>-689</v>
      </c>
      <c r="N158" s="65">
        <f t="shared" si="73"/>
        <v>-50</v>
      </c>
      <c r="O158" s="65">
        <f t="shared" si="73"/>
        <v>-1729</v>
      </c>
      <c r="P158" s="65">
        <f t="shared" si="73"/>
        <v>-4582</v>
      </c>
      <c r="Q158" s="65">
        <f t="shared" si="73"/>
        <v>-1817</v>
      </c>
      <c r="R158" s="71">
        <f>+Q158/Q155*R155</f>
        <v>-2255.6827442986614</v>
      </c>
      <c r="S158" s="71">
        <f t="shared" ref="S158:AC158" si="74">+R158/R155*S155</f>
        <v>-2876.7870867674928</v>
      </c>
      <c r="T158" s="71">
        <f t="shared" si="74"/>
        <v>-3626.9046571470044</v>
      </c>
      <c r="U158" s="71">
        <f t="shared" si="74"/>
        <v>-4401.3147966407487</v>
      </c>
      <c r="V158" s="71">
        <f t="shared" si="74"/>
        <v>-5234.6188856022127</v>
      </c>
      <c r="W158" s="71">
        <f t="shared" si="74"/>
        <v>-6079.5148635135565</v>
      </c>
      <c r="X158" s="71">
        <f t="shared" si="74"/>
        <v>-6923.3430818649031</v>
      </c>
      <c r="Y158" s="71">
        <f t="shared" si="74"/>
        <v>-7869.3308511642063</v>
      </c>
      <c r="Z158" s="71">
        <f t="shared" si="74"/>
        <v>-8925.5557415155745</v>
      </c>
      <c r="AA158" s="71">
        <f t="shared" si="74"/>
        <v>-10100.099362353803</v>
      </c>
      <c r="AB158" s="71">
        <f t="shared" si="74"/>
        <v>-11400.940935138495</v>
      </c>
      <c r="AC158" s="71">
        <f t="shared" si="74"/>
        <v>-12835.839616496854</v>
      </c>
    </row>
    <row r="159" spans="2:29" s="44" customFormat="1" x14ac:dyDescent="0.2">
      <c r="B159" s="110" t="s">
        <v>392</v>
      </c>
      <c r="D159" s="111"/>
      <c r="E159" s="111">
        <f t="shared" ref="E159:Q159" si="75">+E152</f>
        <v>1925</v>
      </c>
      <c r="F159" s="111">
        <f t="shared" si="75"/>
        <v>3273</v>
      </c>
      <c r="G159" s="111">
        <f t="shared" si="75"/>
        <v>4142</v>
      </c>
      <c r="H159" s="111">
        <f t="shared" si="75"/>
        <v>5784</v>
      </c>
      <c r="I159" s="111">
        <f t="shared" si="75"/>
        <v>7819</v>
      </c>
      <c r="J159" s="111">
        <f t="shared" si="75"/>
        <v>11803</v>
      </c>
      <c r="K159" s="111">
        <f t="shared" si="75"/>
        <v>18337</v>
      </c>
      <c r="L159" s="111">
        <f t="shared" si="75"/>
        <v>31573</v>
      </c>
      <c r="M159" s="111">
        <f t="shared" si="75"/>
        <v>45986</v>
      </c>
      <c r="N159" s="111">
        <f t="shared" si="75"/>
        <v>61051</v>
      </c>
      <c r="O159" s="111">
        <f t="shared" si="75"/>
        <v>77889</v>
      </c>
      <c r="P159" s="111">
        <f t="shared" si="75"/>
        <v>104493</v>
      </c>
      <c r="Q159" s="111">
        <f t="shared" si="75"/>
        <v>129721</v>
      </c>
      <c r="R159" s="111">
        <f>SUM(R155:R158)</f>
        <v>165439.79805041035</v>
      </c>
      <c r="S159" s="111">
        <f t="shared" ref="S159:AC159" si="76">SUM(S155:S158)</f>
        <v>208577.95725881227</v>
      </c>
      <c r="T159" s="111">
        <f t="shared" si="76"/>
        <v>253113.14642013304</v>
      </c>
      <c r="U159" s="111">
        <f t="shared" si="76"/>
        <v>301035.24007332523</v>
      </c>
      <c r="V159" s="111">
        <f t="shared" si="76"/>
        <v>349623.96622626419</v>
      </c>
      <c r="W159" s="111">
        <f t="shared" si="76"/>
        <v>398151.28709593246</v>
      </c>
      <c r="X159" s="111">
        <f t="shared" si="76"/>
        <v>452553.65362173988</v>
      </c>
      <c r="Y159" s="111">
        <f t="shared" si="76"/>
        <v>513295.59499074682</v>
      </c>
      <c r="Z159" s="111">
        <f t="shared" si="76"/>
        <v>580841.87268598576</v>
      </c>
      <c r="AA159" s="111">
        <f t="shared" si="76"/>
        <v>655651.36000849027</v>
      </c>
      <c r="AB159" s="111">
        <f t="shared" si="76"/>
        <v>738170.27465415851</v>
      </c>
      <c r="AC159" s="111">
        <f t="shared" si="76"/>
        <v>828824.8316528023</v>
      </c>
    </row>
    <row r="160" spans="2:29" x14ac:dyDescent="0.2">
      <c r="M160" s="64"/>
      <c r="N160" s="64"/>
      <c r="O160" s="64"/>
      <c r="P160" s="64"/>
    </row>
    <row r="161" spans="2:29" x14ac:dyDescent="0.2">
      <c r="B161" s="54" t="s">
        <v>394</v>
      </c>
    </row>
    <row r="162" spans="2:29" s="44" customFormat="1" x14ac:dyDescent="0.2">
      <c r="B162" s="44" t="s">
        <v>388</v>
      </c>
      <c r="D162" s="113">
        <v>246</v>
      </c>
      <c r="E162" s="113">
        <v>450</v>
      </c>
      <c r="F162" s="113">
        <v>882</v>
      </c>
      <c r="G162" s="113">
        <v>1260</v>
      </c>
      <c r="H162" s="113">
        <v>1817</v>
      </c>
      <c r="I162" s="113">
        <v>2132</v>
      </c>
      <c r="J162" s="113">
        <v>3212</v>
      </c>
      <c r="K162" s="113">
        <v>4616</v>
      </c>
      <c r="L162" s="113">
        <v>6890</v>
      </c>
      <c r="M162" s="113">
        <v>10663</v>
      </c>
      <c r="N162" s="113">
        <v>15418</v>
      </c>
      <c r="O162" s="113">
        <v>20080</v>
      </c>
      <c r="P162" s="113">
        <v>24975</v>
      </c>
      <c r="Q162" s="113">
        <v>33134</v>
      </c>
      <c r="R162" s="111">
        <f>+R167</f>
        <v>44642.119253139921</v>
      </c>
      <c r="S162" s="111">
        <f t="shared" ref="S162:AC162" si="77">+S167</f>
        <v>58833.115717718785</v>
      </c>
      <c r="T162" s="111">
        <f t="shared" si="77"/>
        <v>74952.259100135474</v>
      </c>
      <c r="U162" s="111">
        <f t="shared" si="77"/>
        <v>93469.754887363742</v>
      </c>
      <c r="V162" s="111">
        <f t="shared" si="77"/>
        <v>114361.31881458762</v>
      </c>
      <c r="W162" s="111">
        <f t="shared" si="77"/>
        <v>137229.58713428307</v>
      </c>
      <c r="X162" s="111">
        <f t="shared" si="77"/>
        <v>162246.20685143847</v>
      </c>
      <c r="Y162" s="111">
        <f t="shared" si="77"/>
        <v>188712.24111398906</v>
      </c>
      <c r="Z162" s="111">
        <f t="shared" si="77"/>
        <v>216420.49311333528</v>
      </c>
      <c r="AA162" s="111">
        <f t="shared" si="77"/>
        <v>245667.27745542387</v>
      </c>
      <c r="AB162" s="111">
        <f t="shared" si="77"/>
        <v>277480.25968316692</v>
      </c>
      <c r="AC162" s="111">
        <f t="shared" si="77"/>
        <v>312223.53399120411</v>
      </c>
    </row>
    <row r="164" spans="2:29" x14ac:dyDescent="0.2">
      <c r="B164" t="s">
        <v>395</v>
      </c>
      <c r="D164" s="64"/>
      <c r="E164" s="64">
        <f>+D162</f>
        <v>246</v>
      </c>
      <c r="F164" s="64">
        <f t="shared" ref="F164:Q164" si="78">+E167</f>
        <v>450</v>
      </c>
      <c r="G164" s="64">
        <f t="shared" si="78"/>
        <v>882</v>
      </c>
      <c r="H164" s="64">
        <f t="shared" si="78"/>
        <v>1260</v>
      </c>
      <c r="I164" s="64">
        <f t="shared" si="78"/>
        <v>1817</v>
      </c>
      <c r="J164" s="64">
        <f t="shared" si="78"/>
        <v>2132</v>
      </c>
      <c r="K164" s="64">
        <f t="shared" si="78"/>
        <v>3212</v>
      </c>
      <c r="L164" s="64">
        <f t="shared" si="78"/>
        <v>4616</v>
      </c>
      <c r="M164" s="64">
        <f t="shared" si="78"/>
        <v>6890</v>
      </c>
      <c r="N164" s="64">
        <f t="shared" si="78"/>
        <v>10663</v>
      </c>
      <c r="O164" s="64">
        <f t="shared" si="78"/>
        <v>15418</v>
      </c>
      <c r="P164" s="64">
        <f t="shared" si="78"/>
        <v>20080</v>
      </c>
      <c r="Q164" s="64">
        <f t="shared" si="78"/>
        <v>24975</v>
      </c>
      <c r="R164" s="64">
        <f>+Q167</f>
        <v>33134</v>
      </c>
      <c r="S164" s="64">
        <f t="shared" ref="S164:AC164" si="79">+R167</f>
        <v>44642.119253139921</v>
      </c>
      <c r="T164" s="64">
        <f t="shared" si="79"/>
        <v>58833.115717718785</v>
      </c>
      <c r="U164" s="64">
        <f t="shared" si="79"/>
        <v>74952.259100135474</v>
      </c>
      <c r="V164" s="64">
        <f t="shared" si="79"/>
        <v>93469.754887363742</v>
      </c>
      <c r="W164" s="64">
        <f t="shared" si="79"/>
        <v>114361.31881458762</v>
      </c>
      <c r="X164" s="64">
        <f t="shared" si="79"/>
        <v>137229.58713428307</v>
      </c>
      <c r="Y164" s="64">
        <f t="shared" si="79"/>
        <v>162246.20685143847</v>
      </c>
      <c r="Z164" s="64">
        <f t="shared" si="79"/>
        <v>188712.24111398906</v>
      </c>
      <c r="AA164" s="64">
        <f t="shared" si="79"/>
        <v>216420.49311333528</v>
      </c>
      <c r="AB164" s="64">
        <f t="shared" si="79"/>
        <v>245667.27745542387</v>
      </c>
      <c r="AC164" s="64">
        <f t="shared" si="79"/>
        <v>277480.25968316692</v>
      </c>
    </row>
    <row r="165" spans="2:29" x14ac:dyDescent="0.2">
      <c r="B165" t="s">
        <v>396</v>
      </c>
      <c r="D165" s="81"/>
      <c r="E165" s="81">
        <v>323</v>
      </c>
      <c r="F165" s="81">
        <v>649</v>
      </c>
      <c r="G165" s="81">
        <v>866</v>
      </c>
      <c r="H165" s="81">
        <v>924</v>
      </c>
      <c r="I165" s="81">
        <v>1215</v>
      </c>
      <c r="J165" s="81">
        <v>1591</v>
      </c>
      <c r="K165" s="81">
        <v>2333</v>
      </c>
      <c r="L165" s="81">
        <v>3675</v>
      </c>
      <c r="M165" s="81">
        <v>5179</v>
      </c>
      <c r="N165" s="81">
        <v>6389</v>
      </c>
      <c r="O165" s="81">
        <v>7560</v>
      </c>
      <c r="P165" s="81">
        <v>8501</v>
      </c>
      <c r="Q165" s="81">
        <v>11017</v>
      </c>
      <c r="R165" s="64">
        <f>+R49</f>
        <v>15299.789803690475</v>
      </c>
      <c r="S165" s="64">
        <f t="shared" ref="S165:AC165" si="80">+S49</f>
        <v>19299.592133266509</v>
      </c>
      <c r="T165" s="64">
        <f t="shared" si="80"/>
        <v>22851.677705589478</v>
      </c>
      <c r="U165" s="64">
        <f t="shared" si="80"/>
        <v>27094.615166935451</v>
      </c>
      <c r="V165" s="64">
        <f t="shared" si="80"/>
        <v>31587.722464484548</v>
      </c>
      <c r="W165" s="64">
        <f t="shared" si="80"/>
        <v>35955.141159418847</v>
      </c>
      <c r="X165" s="64">
        <f t="shared" si="80"/>
        <v>40720.409908538044</v>
      </c>
      <c r="Y165" s="64">
        <f t="shared" si="80"/>
        <v>45032.587182727199</v>
      </c>
      <c r="Z165" s="64">
        <f t="shared" si="80"/>
        <v>49303.430582080196</v>
      </c>
      <c r="AA165" s="64">
        <f t="shared" si="80"/>
        <v>54012.74107153451</v>
      </c>
      <c r="AB165" s="64">
        <f t="shared" si="80"/>
        <v>59925.778182401758</v>
      </c>
      <c r="AC165" s="64">
        <f t="shared" si="80"/>
        <v>66496.570891600408</v>
      </c>
    </row>
    <row r="166" spans="2:29" ht="13.5" x14ac:dyDescent="0.35">
      <c r="B166" t="s">
        <v>33</v>
      </c>
      <c r="D166" s="65"/>
      <c r="E166" s="65">
        <f t="shared" ref="E166:Q166" si="81">+E167-SUM(E164:E165)</f>
        <v>-119</v>
      </c>
      <c r="F166" s="65">
        <f t="shared" si="81"/>
        <v>-217</v>
      </c>
      <c r="G166" s="65">
        <f t="shared" si="81"/>
        <v>-488</v>
      </c>
      <c r="H166" s="65">
        <f t="shared" si="81"/>
        <v>-367</v>
      </c>
      <c r="I166" s="65">
        <f t="shared" si="81"/>
        <v>-900</v>
      </c>
      <c r="J166" s="65">
        <f t="shared" si="81"/>
        <v>-511</v>
      </c>
      <c r="K166" s="65">
        <f t="shared" si="81"/>
        <v>-929</v>
      </c>
      <c r="L166" s="65">
        <f t="shared" si="81"/>
        <v>-1401</v>
      </c>
      <c r="M166" s="65">
        <f t="shared" si="81"/>
        <v>-1406</v>
      </c>
      <c r="N166" s="65">
        <f t="shared" si="81"/>
        <v>-1634</v>
      </c>
      <c r="O166" s="65">
        <f t="shared" si="81"/>
        <v>-2898</v>
      </c>
      <c r="P166" s="65">
        <f t="shared" si="81"/>
        <v>-3606</v>
      </c>
      <c r="Q166" s="65">
        <f t="shared" si="81"/>
        <v>-2858</v>
      </c>
      <c r="R166" s="71">
        <f>+Q166/Q164*R164</f>
        <v>-3791.6705505505506</v>
      </c>
      <c r="S166" s="71">
        <f t="shared" ref="S166:AC166" si="82">+R166/R164*S164</f>
        <v>-5108.5956686876434</v>
      </c>
      <c r="T166" s="71">
        <f t="shared" si="82"/>
        <v>-6732.5343231727848</v>
      </c>
      <c r="U166" s="71">
        <f t="shared" si="82"/>
        <v>-8577.1193797071955</v>
      </c>
      <c r="V166" s="71">
        <f t="shared" si="82"/>
        <v>-10696.158537260684</v>
      </c>
      <c r="W166" s="71">
        <f t="shared" si="82"/>
        <v>-13086.872839723381</v>
      </c>
      <c r="X166" s="71">
        <f t="shared" si="82"/>
        <v>-15703.790191382624</v>
      </c>
      <c r="Y166" s="71">
        <f t="shared" si="82"/>
        <v>-18566.552920176626</v>
      </c>
      <c r="Z166" s="71">
        <f t="shared" si="82"/>
        <v>-21595.178582733966</v>
      </c>
      <c r="AA166" s="71">
        <f t="shared" si="82"/>
        <v>-24765.956729445938</v>
      </c>
      <c r="AB166" s="71">
        <f t="shared" si="82"/>
        <v>-28112.795954658719</v>
      </c>
      <c r="AC166" s="71">
        <f t="shared" si="82"/>
        <v>-31753.296583563209</v>
      </c>
    </row>
    <row r="167" spans="2:29" s="44" customFormat="1" x14ac:dyDescent="0.2">
      <c r="B167" s="110" t="s">
        <v>388</v>
      </c>
      <c r="D167" s="111"/>
      <c r="E167" s="111">
        <f t="shared" ref="E167:Q167" si="83">+E162</f>
        <v>450</v>
      </c>
      <c r="F167" s="111">
        <f t="shared" si="83"/>
        <v>882</v>
      </c>
      <c r="G167" s="111">
        <f t="shared" si="83"/>
        <v>1260</v>
      </c>
      <c r="H167" s="111">
        <f t="shared" si="83"/>
        <v>1817</v>
      </c>
      <c r="I167" s="111">
        <f t="shared" si="83"/>
        <v>2132</v>
      </c>
      <c r="J167" s="111">
        <f t="shared" si="83"/>
        <v>3212</v>
      </c>
      <c r="K167" s="111">
        <f t="shared" si="83"/>
        <v>4616</v>
      </c>
      <c r="L167" s="111">
        <f t="shared" si="83"/>
        <v>6890</v>
      </c>
      <c r="M167" s="111">
        <f t="shared" si="83"/>
        <v>10663</v>
      </c>
      <c r="N167" s="111">
        <f t="shared" si="83"/>
        <v>15418</v>
      </c>
      <c r="O167" s="111">
        <f t="shared" si="83"/>
        <v>20080</v>
      </c>
      <c r="P167" s="111">
        <f t="shared" si="83"/>
        <v>24975</v>
      </c>
      <c r="Q167" s="111">
        <f t="shared" si="83"/>
        <v>33134</v>
      </c>
      <c r="R167" s="111">
        <f>SUM(R164:R166)</f>
        <v>44642.119253139921</v>
      </c>
      <c r="S167" s="111">
        <f t="shared" ref="S167:AC167" si="84">SUM(S164:S166)</f>
        <v>58833.115717718785</v>
      </c>
      <c r="T167" s="111">
        <f t="shared" si="84"/>
        <v>74952.259100135474</v>
      </c>
      <c r="U167" s="111">
        <f t="shared" si="84"/>
        <v>93469.754887363742</v>
      </c>
      <c r="V167" s="111">
        <f t="shared" si="84"/>
        <v>114361.31881458762</v>
      </c>
      <c r="W167" s="111">
        <f t="shared" si="84"/>
        <v>137229.58713428307</v>
      </c>
      <c r="X167" s="111">
        <f t="shared" si="84"/>
        <v>162246.20685143847</v>
      </c>
      <c r="Y167" s="111">
        <f t="shared" si="84"/>
        <v>188712.24111398906</v>
      </c>
      <c r="Z167" s="111">
        <f t="shared" si="84"/>
        <v>216420.49311333528</v>
      </c>
      <c r="AA167" s="111">
        <f t="shared" si="84"/>
        <v>245667.27745542387</v>
      </c>
      <c r="AB167" s="111">
        <f t="shared" si="84"/>
        <v>277480.25968316692</v>
      </c>
      <c r="AC167" s="111">
        <f t="shared" si="84"/>
        <v>312223.53399120411</v>
      </c>
    </row>
    <row r="168" spans="2:29" x14ac:dyDescent="0.2">
      <c r="B168" s="60"/>
      <c r="D168" s="206"/>
      <c r="E168" s="206"/>
      <c r="F168" s="206"/>
      <c r="G168" s="206"/>
      <c r="H168" s="206"/>
      <c r="I168" s="206"/>
      <c r="J168" s="206"/>
      <c r="K168" s="206"/>
      <c r="L168" s="206"/>
      <c r="M168" s="206"/>
      <c r="N168" s="206"/>
      <c r="O168" s="206"/>
      <c r="P168" s="206"/>
      <c r="Q168" s="206"/>
    </row>
    <row r="169" spans="2:29" x14ac:dyDescent="0.2">
      <c r="B169" s="54" t="s">
        <v>398</v>
      </c>
    </row>
    <row r="170" spans="2:29" x14ac:dyDescent="0.2">
      <c r="B170" t="s">
        <v>392</v>
      </c>
      <c r="D170" s="64">
        <f t="shared" ref="D170:Q170" si="85">+D152</f>
        <v>820</v>
      </c>
      <c r="E170" s="64">
        <f t="shared" si="85"/>
        <v>1925</v>
      </c>
      <c r="F170" s="64">
        <f t="shared" si="85"/>
        <v>3273</v>
      </c>
      <c r="G170" s="64">
        <f t="shared" si="85"/>
        <v>4142</v>
      </c>
      <c r="H170" s="64">
        <f t="shared" si="85"/>
        <v>5784</v>
      </c>
      <c r="I170" s="64">
        <f t="shared" si="85"/>
        <v>7819</v>
      </c>
      <c r="J170" s="64">
        <f t="shared" si="85"/>
        <v>11803</v>
      </c>
      <c r="K170" s="64">
        <f t="shared" si="85"/>
        <v>18337</v>
      </c>
      <c r="L170" s="64">
        <f t="shared" si="85"/>
        <v>31573</v>
      </c>
      <c r="M170" s="64">
        <f t="shared" si="85"/>
        <v>45986</v>
      </c>
      <c r="N170" s="64">
        <f t="shared" si="85"/>
        <v>61051</v>
      </c>
      <c r="O170" s="64">
        <f t="shared" si="85"/>
        <v>77889</v>
      </c>
      <c r="P170" s="64">
        <f t="shared" si="85"/>
        <v>104493</v>
      </c>
      <c r="Q170" s="64">
        <f t="shared" si="85"/>
        <v>129721</v>
      </c>
      <c r="R170" s="64">
        <f t="shared" ref="R170:AC170" si="86">+R152</f>
        <v>165439.79805041035</v>
      </c>
      <c r="S170" s="64">
        <f t="shared" si="86"/>
        <v>208577.95725881227</v>
      </c>
      <c r="T170" s="64">
        <f t="shared" si="86"/>
        <v>253113.14642013304</v>
      </c>
      <c r="U170" s="64">
        <f t="shared" si="86"/>
        <v>301035.24007332523</v>
      </c>
      <c r="V170" s="64">
        <f t="shared" si="86"/>
        <v>349623.96622626419</v>
      </c>
      <c r="W170" s="64">
        <f t="shared" si="86"/>
        <v>398151.28709593246</v>
      </c>
      <c r="X170" s="64">
        <f t="shared" si="86"/>
        <v>452553.65362173988</v>
      </c>
      <c r="Y170" s="64">
        <f t="shared" si="86"/>
        <v>513295.59499074682</v>
      </c>
      <c r="Z170" s="64">
        <f t="shared" si="86"/>
        <v>580841.87268598576</v>
      </c>
      <c r="AA170" s="64">
        <f t="shared" si="86"/>
        <v>655651.36000849027</v>
      </c>
      <c r="AB170" s="64">
        <f t="shared" si="86"/>
        <v>738170.27465415851</v>
      </c>
      <c r="AC170" s="64">
        <f t="shared" si="86"/>
        <v>828824.8316528023</v>
      </c>
    </row>
    <row r="171" spans="2:29" ht="13.5" x14ac:dyDescent="0.35">
      <c r="B171" t="s">
        <v>388</v>
      </c>
      <c r="D171" s="65">
        <f t="shared" ref="D171:Q171" si="87">-D162</f>
        <v>-246</v>
      </c>
      <c r="E171" s="65">
        <f t="shared" si="87"/>
        <v>-450</v>
      </c>
      <c r="F171" s="65">
        <f t="shared" si="87"/>
        <v>-882</v>
      </c>
      <c r="G171" s="65">
        <f t="shared" si="87"/>
        <v>-1260</v>
      </c>
      <c r="H171" s="65">
        <f t="shared" si="87"/>
        <v>-1817</v>
      </c>
      <c r="I171" s="65">
        <f t="shared" si="87"/>
        <v>-2132</v>
      </c>
      <c r="J171" s="65">
        <f t="shared" si="87"/>
        <v>-3212</v>
      </c>
      <c r="K171" s="65">
        <f t="shared" si="87"/>
        <v>-4616</v>
      </c>
      <c r="L171" s="65">
        <f t="shared" si="87"/>
        <v>-6890</v>
      </c>
      <c r="M171" s="65">
        <f t="shared" si="87"/>
        <v>-10663</v>
      </c>
      <c r="N171" s="65">
        <f t="shared" si="87"/>
        <v>-15418</v>
      </c>
      <c r="O171" s="65">
        <f t="shared" si="87"/>
        <v>-20080</v>
      </c>
      <c r="P171" s="65">
        <f t="shared" si="87"/>
        <v>-24975</v>
      </c>
      <c r="Q171" s="65">
        <f t="shared" si="87"/>
        <v>-33134</v>
      </c>
      <c r="R171" s="65">
        <f t="shared" ref="R171:AC171" si="88">-R162</f>
        <v>-44642.119253139921</v>
      </c>
      <c r="S171" s="65">
        <f t="shared" si="88"/>
        <v>-58833.115717718785</v>
      </c>
      <c r="T171" s="65">
        <f t="shared" si="88"/>
        <v>-74952.259100135474</v>
      </c>
      <c r="U171" s="65">
        <f t="shared" si="88"/>
        <v>-93469.754887363742</v>
      </c>
      <c r="V171" s="65">
        <f t="shared" si="88"/>
        <v>-114361.31881458762</v>
      </c>
      <c r="W171" s="65">
        <f t="shared" si="88"/>
        <v>-137229.58713428307</v>
      </c>
      <c r="X171" s="65">
        <f t="shared" si="88"/>
        <v>-162246.20685143847</v>
      </c>
      <c r="Y171" s="65">
        <f t="shared" si="88"/>
        <v>-188712.24111398906</v>
      </c>
      <c r="Z171" s="65">
        <f t="shared" si="88"/>
        <v>-216420.49311333528</v>
      </c>
      <c r="AA171" s="65">
        <f t="shared" si="88"/>
        <v>-245667.27745542387</v>
      </c>
      <c r="AB171" s="65">
        <f t="shared" si="88"/>
        <v>-277480.25968316692</v>
      </c>
      <c r="AC171" s="65">
        <f t="shared" si="88"/>
        <v>-312223.53399120411</v>
      </c>
    </row>
    <row r="172" spans="2:29" s="44" customFormat="1" x14ac:dyDescent="0.2">
      <c r="B172" s="110" t="s">
        <v>399</v>
      </c>
      <c r="D172" s="111">
        <f t="shared" ref="D172:Q172" si="89">SUM(D170:D171)</f>
        <v>574</v>
      </c>
      <c r="E172" s="111">
        <f t="shared" si="89"/>
        <v>1475</v>
      </c>
      <c r="F172" s="111">
        <f t="shared" si="89"/>
        <v>2391</v>
      </c>
      <c r="G172" s="111">
        <f t="shared" si="89"/>
        <v>2882</v>
      </c>
      <c r="H172" s="111">
        <f t="shared" si="89"/>
        <v>3967</v>
      </c>
      <c r="I172" s="111">
        <f t="shared" si="89"/>
        <v>5687</v>
      </c>
      <c r="J172" s="111">
        <f t="shared" si="89"/>
        <v>8591</v>
      </c>
      <c r="K172" s="111">
        <f t="shared" si="89"/>
        <v>13721</v>
      </c>
      <c r="L172" s="111">
        <f t="shared" si="89"/>
        <v>24683</v>
      </c>
      <c r="M172" s="111">
        <f t="shared" si="89"/>
        <v>35323</v>
      </c>
      <c r="N172" s="111">
        <f t="shared" si="89"/>
        <v>45633</v>
      </c>
      <c r="O172" s="111">
        <f t="shared" si="89"/>
        <v>57809</v>
      </c>
      <c r="P172" s="111">
        <f t="shared" si="89"/>
        <v>79518</v>
      </c>
      <c r="Q172" s="111">
        <f t="shared" si="89"/>
        <v>96587</v>
      </c>
      <c r="R172" s="111">
        <f t="shared" ref="R172:AC172" si="90">SUM(R170:R171)</f>
        <v>120797.67879727043</v>
      </c>
      <c r="S172" s="111">
        <f t="shared" si="90"/>
        <v>149744.84154109348</v>
      </c>
      <c r="T172" s="111">
        <f t="shared" si="90"/>
        <v>178160.88731999756</v>
      </c>
      <c r="U172" s="111">
        <f t="shared" si="90"/>
        <v>207565.48518596147</v>
      </c>
      <c r="V172" s="111">
        <f t="shared" si="90"/>
        <v>235262.64741167659</v>
      </c>
      <c r="W172" s="111">
        <f t="shared" si="90"/>
        <v>260921.6999616494</v>
      </c>
      <c r="X172" s="111">
        <f t="shared" si="90"/>
        <v>290307.44677030144</v>
      </c>
      <c r="Y172" s="111">
        <f t="shared" si="90"/>
        <v>324583.35387675778</v>
      </c>
      <c r="Z172" s="111">
        <f t="shared" si="90"/>
        <v>364421.37957265048</v>
      </c>
      <c r="AA172" s="111">
        <f t="shared" si="90"/>
        <v>409984.08255306643</v>
      </c>
      <c r="AB172" s="111">
        <f t="shared" si="90"/>
        <v>460690.01497099159</v>
      </c>
      <c r="AC172" s="111">
        <f t="shared" si="90"/>
        <v>516601.29766159819</v>
      </c>
    </row>
    <row r="174" spans="2:29" x14ac:dyDescent="0.2">
      <c r="B174" t="s">
        <v>400</v>
      </c>
      <c r="D174" s="64"/>
      <c r="E174" s="64">
        <f t="shared" ref="E174:Q174" si="91">+D172</f>
        <v>574</v>
      </c>
      <c r="F174" s="64">
        <f t="shared" si="91"/>
        <v>1475</v>
      </c>
      <c r="G174" s="64">
        <f t="shared" si="91"/>
        <v>2391</v>
      </c>
      <c r="H174" s="64">
        <f t="shared" si="91"/>
        <v>2882</v>
      </c>
      <c r="I174" s="64">
        <f t="shared" si="91"/>
        <v>3967</v>
      </c>
      <c r="J174" s="64">
        <f t="shared" si="91"/>
        <v>5687</v>
      </c>
      <c r="K174" s="64">
        <f t="shared" si="91"/>
        <v>8591</v>
      </c>
      <c r="L174" s="64">
        <f t="shared" si="91"/>
        <v>13721</v>
      </c>
      <c r="M174" s="64">
        <f t="shared" si="91"/>
        <v>24683</v>
      </c>
      <c r="N174" s="64">
        <f t="shared" si="91"/>
        <v>35323</v>
      </c>
      <c r="O174" s="64">
        <f t="shared" si="91"/>
        <v>45633</v>
      </c>
      <c r="P174" s="64">
        <f t="shared" si="91"/>
        <v>57809</v>
      </c>
      <c r="Q174" s="64">
        <f t="shared" si="91"/>
        <v>79518</v>
      </c>
      <c r="R174" s="64">
        <f t="shared" ref="R174:AC174" si="92">+Q172</f>
        <v>96587</v>
      </c>
      <c r="S174" s="64">
        <f t="shared" si="92"/>
        <v>120797.67879727043</v>
      </c>
      <c r="T174" s="64">
        <f t="shared" si="92"/>
        <v>149744.84154109348</v>
      </c>
      <c r="U174" s="64">
        <f t="shared" si="92"/>
        <v>178160.88731999756</v>
      </c>
      <c r="V174" s="64">
        <f t="shared" si="92"/>
        <v>207565.48518596147</v>
      </c>
      <c r="W174" s="64">
        <f t="shared" si="92"/>
        <v>235262.64741167659</v>
      </c>
      <c r="X174" s="64">
        <f t="shared" si="92"/>
        <v>260921.6999616494</v>
      </c>
      <c r="Y174" s="64">
        <f t="shared" si="92"/>
        <v>290307.44677030144</v>
      </c>
      <c r="Z174" s="64">
        <f t="shared" si="92"/>
        <v>324583.35387675778</v>
      </c>
      <c r="AA174" s="64">
        <f t="shared" si="92"/>
        <v>364421.37957265048</v>
      </c>
      <c r="AB174" s="64">
        <f t="shared" si="92"/>
        <v>409984.08255306643</v>
      </c>
      <c r="AC174" s="64">
        <f t="shared" si="92"/>
        <v>460690.01497099159</v>
      </c>
    </row>
    <row r="175" spans="2:29" x14ac:dyDescent="0.2">
      <c r="B175" t="s">
        <v>376</v>
      </c>
      <c r="D175" s="64"/>
      <c r="E175" s="64">
        <f t="shared" ref="E175:Q175" si="93">+E156</f>
        <v>606</v>
      </c>
      <c r="F175" s="64">
        <f t="shared" si="93"/>
        <v>1235</v>
      </c>
      <c r="G175" s="64">
        <f t="shared" si="93"/>
        <v>1362</v>
      </c>
      <c r="H175" s="64">
        <f t="shared" si="93"/>
        <v>1831</v>
      </c>
      <c r="I175" s="64">
        <f t="shared" si="93"/>
        <v>2523</v>
      </c>
      <c r="J175" s="64">
        <f t="shared" si="93"/>
        <v>4491</v>
      </c>
      <c r="K175" s="64">
        <f t="shared" si="93"/>
        <v>6733</v>
      </c>
      <c r="L175" s="64">
        <f t="shared" si="93"/>
        <v>13915</v>
      </c>
      <c r="M175" s="64">
        <f t="shared" si="93"/>
        <v>15102</v>
      </c>
      <c r="N175" s="64">
        <f t="shared" si="93"/>
        <v>15115</v>
      </c>
      <c r="O175" s="64">
        <f t="shared" si="93"/>
        <v>18567</v>
      </c>
      <c r="P175" s="64">
        <f t="shared" si="93"/>
        <v>31431</v>
      </c>
      <c r="Q175" s="64">
        <f t="shared" si="93"/>
        <v>27266</v>
      </c>
      <c r="R175" s="64">
        <f t="shared" ref="R175:AC175" si="94">+R156</f>
        <v>37974.480794708994</v>
      </c>
      <c r="S175" s="64">
        <f t="shared" si="94"/>
        <v>46014.946295169408</v>
      </c>
      <c r="T175" s="64">
        <f t="shared" si="94"/>
        <v>48162.09381846778</v>
      </c>
      <c r="U175" s="64">
        <f t="shared" si="94"/>
        <v>52323.408449832968</v>
      </c>
      <c r="V175" s="64">
        <f t="shared" si="94"/>
        <v>53823.3450385412</v>
      </c>
      <c r="W175" s="64">
        <f t="shared" si="94"/>
        <v>54606.835733181826</v>
      </c>
      <c r="X175" s="64">
        <f t="shared" si="94"/>
        <v>61325.709607672274</v>
      </c>
      <c r="Y175" s="64">
        <f t="shared" si="94"/>
        <v>68611.272220171115</v>
      </c>
      <c r="Z175" s="64">
        <f t="shared" si="94"/>
        <v>76471.833436754518</v>
      </c>
      <c r="AA175" s="64">
        <f t="shared" si="94"/>
        <v>84909.586684858295</v>
      </c>
      <c r="AB175" s="64">
        <f t="shared" si="94"/>
        <v>93919.855580806732</v>
      </c>
      <c r="AC175" s="64">
        <f t="shared" si="94"/>
        <v>103490.39661514061</v>
      </c>
    </row>
    <row r="176" spans="2:29" x14ac:dyDescent="0.2">
      <c r="B176" t="s">
        <v>377</v>
      </c>
      <c r="D176" s="64"/>
      <c r="E176" s="64">
        <f t="shared" ref="E176:Q176" si="95">+E157</f>
        <v>0</v>
      </c>
      <c r="F176" s="64">
        <f t="shared" si="95"/>
        <v>0</v>
      </c>
      <c r="G176" s="64">
        <f t="shared" si="95"/>
        <v>0</v>
      </c>
      <c r="H176" s="64">
        <f t="shared" si="95"/>
        <v>0</v>
      </c>
      <c r="I176" s="64">
        <f t="shared" si="95"/>
        <v>0</v>
      </c>
      <c r="J176" s="64">
        <f t="shared" si="95"/>
        <v>0</v>
      </c>
      <c r="K176" s="64">
        <f t="shared" si="95"/>
        <v>0</v>
      </c>
      <c r="L176" s="64">
        <f t="shared" si="95"/>
        <v>0</v>
      </c>
      <c r="M176" s="64">
        <f t="shared" si="95"/>
        <v>0</v>
      </c>
      <c r="N176" s="64">
        <f t="shared" si="95"/>
        <v>0</v>
      </c>
      <c r="O176" s="64">
        <f t="shared" si="95"/>
        <v>0</v>
      </c>
      <c r="P176" s="64">
        <f t="shared" si="95"/>
        <v>-245</v>
      </c>
      <c r="Q176" s="64">
        <f t="shared" si="95"/>
        <v>-221</v>
      </c>
      <c r="R176" s="64">
        <f t="shared" ref="R176:AC176" si="96">+R157</f>
        <v>0</v>
      </c>
      <c r="S176" s="64">
        <f t="shared" si="96"/>
        <v>0</v>
      </c>
      <c r="T176" s="64">
        <f t="shared" si="96"/>
        <v>0</v>
      </c>
      <c r="U176" s="64">
        <f t="shared" si="96"/>
        <v>0</v>
      </c>
      <c r="V176" s="64">
        <f t="shared" si="96"/>
        <v>0</v>
      </c>
      <c r="W176" s="64">
        <f t="shared" si="96"/>
        <v>0</v>
      </c>
      <c r="X176" s="64">
        <f t="shared" si="96"/>
        <v>0</v>
      </c>
      <c r="Y176" s="64">
        <f t="shared" si="96"/>
        <v>0</v>
      </c>
      <c r="Z176" s="64">
        <f t="shared" si="96"/>
        <v>0</v>
      </c>
      <c r="AA176" s="64">
        <f t="shared" si="96"/>
        <v>0</v>
      </c>
      <c r="AB176" s="64">
        <f t="shared" si="96"/>
        <v>0</v>
      </c>
      <c r="AC176" s="64">
        <f t="shared" si="96"/>
        <v>0</v>
      </c>
    </row>
    <row r="177" spans="2:29" x14ac:dyDescent="0.2">
      <c r="B177" t="s">
        <v>396</v>
      </c>
      <c r="D177" s="64"/>
      <c r="E177" s="64">
        <f t="shared" ref="E177:AC177" si="97">+-E165</f>
        <v>-323</v>
      </c>
      <c r="F177" s="64">
        <f t="shared" si="97"/>
        <v>-649</v>
      </c>
      <c r="G177" s="64">
        <f t="shared" si="97"/>
        <v>-866</v>
      </c>
      <c r="H177" s="64">
        <f t="shared" si="97"/>
        <v>-924</v>
      </c>
      <c r="I177" s="64">
        <f t="shared" si="97"/>
        <v>-1215</v>
      </c>
      <c r="J177" s="64">
        <f t="shared" si="97"/>
        <v>-1591</v>
      </c>
      <c r="K177" s="64">
        <f t="shared" si="97"/>
        <v>-2333</v>
      </c>
      <c r="L177" s="64">
        <f t="shared" si="97"/>
        <v>-3675</v>
      </c>
      <c r="M177" s="64">
        <f t="shared" si="97"/>
        <v>-5179</v>
      </c>
      <c r="N177" s="64">
        <f t="shared" si="97"/>
        <v>-6389</v>
      </c>
      <c r="O177" s="64">
        <f t="shared" si="97"/>
        <v>-7560</v>
      </c>
      <c r="P177" s="64">
        <f t="shared" si="97"/>
        <v>-8501</v>
      </c>
      <c r="Q177" s="64">
        <f t="shared" si="97"/>
        <v>-11017</v>
      </c>
      <c r="R177" s="64">
        <f t="shared" si="97"/>
        <v>-15299.789803690475</v>
      </c>
      <c r="S177" s="64">
        <f t="shared" si="97"/>
        <v>-19299.592133266509</v>
      </c>
      <c r="T177" s="64">
        <f t="shared" si="97"/>
        <v>-22851.677705589478</v>
      </c>
      <c r="U177" s="64">
        <f t="shared" si="97"/>
        <v>-27094.615166935451</v>
      </c>
      <c r="V177" s="64">
        <f t="shared" si="97"/>
        <v>-31587.722464484548</v>
      </c>
      <c r="W177" s="64">
        <f t="shared" si="97"/>
        <v>-35955.141159418847</v>
      </c>
      <c r="X177" s="64">
        <f t="shared" si="97"/>
        <v>-40720.409908538044</v>
      </c>
      <c r="Y177" s="64">
        <f t="shared" si="97"/>
        <v>-45032.587182727199</v>
      </c>
      <c r="Z177" s="64">
        <f t="shared" si="97"/>
        <v>-49303.430582080196</v>
      </c>
      <c r="AA177" s="64">
        <f t="shared" si="97"/>
        <v>-54012.74107153451</v>
      </c>
      <c r="AB177" s="64">
        <f t="shared" si="97"/>
        <v>-59925.778182401758</v>
      </c>
      <c r="AC177" s="64">
        <f t="shared" si="97"/>
        <v>-66496.570891600408</v>
      </c>
    </row>
    <row r="178" spans="2:29" ht="13.5" x14ac:dyDescent="0.35">
      <c r="B178" t="s">
        <v>33</v>
      </c>
      <c r="D178" s="65"/>
      <c r="E178" s="65">
        <f t="shared" ref="E178:Q178" si="98">+E179-SUM(E174:E177)</f>
        <v>618</v>
      </c>
      <c r="F178" s="65">
        <f t="shared" si="98"/>
        <v>330</v>
      </c>
      <c r="G178" s="65">
        <f t="shared" si="98"/>
        <v>-5</v>
      </c>
      <c r="H178" s="65">
        <f t="shared" si="98"/>
        <v>178</v>
      </c>
      <c r="I178" s="65">
        <f t="shared" si="98"/>
        <v>412</v>
      </c>
      <c r="J178" s="65">
        <f t="shared" si="98"/>
        <v>4</v>
      </c>
      <c r="K178" s="65">
        <f t="shared" si="98"/>
        <v>730</v>
      </c>
      <c r="L178" s="65">
        <f t="shared" si="98"/>
        <v>722</v>
      </c>
      <c r="M178" s="65">
        <f t="shared" si="98"/>
        <v>717</v>
      </c>
      <c r="N178" s="65">
        <f t="shared" si="98"/>
        <v>1584</v>
      </c>
      <c r="O178" s="65">
        <f t="shared" si="98"/>
        <v>1169</v>
      </c>
      <c r="P178" s="65">
        <f t="shared" si="98"/>
        <v>-976</v>
      </c>
      <c r="Q178" s="65">
        <f t="shared" si="98"/>
        <v>1041</v>
      </c>
      <c r="R178" s="65">
        <f t="shared" ref="R178:AC178" si="99">+R179-SUM(R174:R177)</f>
        <v>1535.9878062519128</v>
      </c>
      <c r="S178" s="65">
        <f t="shared" si="99"/>
        <v>2231.8085819201369</v>
      </c>
      <c r="T178" s="65">
        <f t="shared" si="99"/>
        <v>3105.6296660257794</v>
      </c>
      <c r="U178" s="65">
        <f t="shared" si="99"/>
        <v>4175.804583066405</v>
      </c>
      <c r="V178" s="65">
        <f t="shared" si="99"/>
        <v>5461.5396516584733</v>
      </c>
      <c r="W178" s="65">
        <f t="shared" si="99"/>
        <v>7007.357976209867</v>
      </c>
      <c r="X178" s="65">
        <f t="shared" si="99"/>
        <v>8780.447109517816</v>
      </c>
      <c r="Y178" s="65">
        <f t="shared" si="99"/>
        <v>10697.222069012409</v>
      </c>
      <c r="Z178" s="65">
        <f t="shared" si="99"/>
        <v>12669.62284121837</v>
      </c>
      <c r="AA178" s="65">
        <f t="shared" si="99"/>
        <v>14665.857367092161</v>
      </c>
      <c r="AB178" s="65">
        <f t="shared" si="99"/>
        <v>16711.855019520211</v>
      </c>
      <c r="AC178" s="65">
        <f t="shared" si="99"/>
        <v>18917.45696706645</v>
      </c>
    </row>
    <row r="179" spans="2:29" s="44" customFormat="1" x14ac:dyDescent="0.2">
      <c r="B179" s="110" t="s">
        <v>399</v>
      </c>
      <c r="D179" s="111"/>
      <c r="E179" s="111">
        <f t="shared" ref="E179:Q179" si="100">+E172</f>
        <v>1475</v>
      </c>
      <c r="F179" s="111">
        <f t="shared" si="100"/>
        <v>2391</v>
      </c>
      <c r="G179" s="111">
        <f t="shared" si="100"/>
        <v>2882</v>
      </c>
      <c r="H179" s="111">
        <f t="shared" si="100"/>
        <v>3967</v>
      </c>
      <c r="I179" s="111">
        <f t="shared" si="100"/>
        <v>5687</v>
      </c>
      <c r="J179" s="111">
        <f t="shared" si="100"/>
        <v>8591</v>
      </c>
      <c r="K179" s="111">
        <f t="shared" si="100"/>
        <v>13721</v>
      </c>
      <c r="L179" s="111">
        <f t="shared" si="100"/>
        <v>24683</v>
      </c>
      <c r="M179" s="111">
        <f t="shared" si="100"/>
        <v>35323</v>
      </c>
      <c r="N179" s="111">
        <f t="shared" si="100"/>
        <v>45633</v>
      </c>
      <c r="O179" s="111">
        <f t="shared" si="100"/>
        <v>57809</v>
      </c>
      <c r="P179" s="111">
        <f t="shared" si="100"/>
        <v>79518</v>
      </c>
      <c r="Q179" s="111">
        <f t="shared" si="100"/>
        <v>96587</v>
      </c>
      <c r="R179" s="111">
        <f t="shared" ref="R179:AC179" si="101">+R172</f>
        <v>120797.67879727043</v>
      </c>
      <c r="S179" s="111">
        <f t="shared" si="101"/>
        <v>149744.84154109348</v>
      </c>
      <c r="T179" s="111">
        <f t="shared" si="101"/>
        <v>178160.88731999756</v>
      </c>
      <c r="U179" s="111">
        <f t="shared" si="101"/>
        <v>207565.48518596147</v>
      </c>
      <c r="V179" s="111">
        <f t="shared" si="101"/>
        <v>235262.64741167659</v>
      </c>
      <c r="W179" s="111">
        <f t="shared" si="101"/>
        <v>260921.6999616494</v>
      </c>
      <c r="X179" s="111">
        <f t="shared" si="101"/>
        <v>290307.44677030144</v>
      </c>
      <c r="Y179" s="111">
        <f t="shared" si="101"/>
        <v>324583.35387675778</v>
      </c>
      <c r="Z179" s="111">
        <f t="shared" si="101"/>
        <v>364421.37957265048</v>
      </c>
      <c r="AA179" s="111">
        <f t="shared" si="101"/>
        <v>409984.08255306643</v>
      </c>
      <c r="AB179" s="111">
        <f t="shared" si="101"/>
        <v>460690.01497099159</v>
      </c>
      <c r="AC179" s="111">
        <f t="shared" si="101"/>
        <v>516601.29766159819</v>
      </c>
    </row>
    <row r="180" spans="2:29" s="44" customFormat="1" x14ac:dyDescent="0.2">
      <c r="B180" s="110"/>
      <c r="D180" s="111"/>
      <c r="E180" s="111"/>
      <c r="F180" s="111"/>
      <c r="G180" s="111"/>
      <c r="H180" s="111"/>
      <c r="I180" s="111"/>
      <c r="J180" s="111"/>
      <c r="K180" s="111"/>
      <c r="L180" s="111"/>
      <c r="M180" s="111"/>
      <c r="N180" s="111"/>
      <c r="O180" s="111"/>
      <c r="P180" s="111"/>
      <c r="Q180" s="111"/>
    </row>
    <row r="181" spans="2:29" s="44" customFormat="1" x14ac:dyDescent="0.2">
      <c r="B181" s="54" t="s">
        <v>529</v>
      </c>
      <c r="D181" s="111"/>
      <c r="E181" s="111"/>
      <c r="F181" s="111"/>
      <c r="G181" s="111"/>
      <c r="H181" s="111"/>
      <c r="I181" s="111"/>
      <c r="J181" s="111"/>
      <c r="K181" s="111"/>
      <c r="L181" s="111"/>
      <c r="M181" s="111"/>
      <c r="N181" s="111"/>
      <c r="O181" s="111"/>
      <c r="P181" s="111"/>
      <c r="Q181" s="111"/>
    </row>
    <row r="182" spans="2:29" s="44" customFormat="1" x14ac:dyDescent="0.2">
      <c r="B182" t="s">
        <v>401</v>
      </c>
      <c r="D182" s="83">
        <v>0</v>
      </c>
      <c r="E182" s="83">
        <v>0</v>
      </c>
      <c r="F182" s="83">
        <v>0</v>
      </c>
      <c r="G182" s="83">
        <v>0</v>
      </c>
      <c r="H182" s="83">
        <v>0</v>
      </c>
      <c r="I182" s="83">
        <v>0</v>
      </c>
      <c r="J182" s="83">
        <v>0</v>
      </c>
      <c r="K182" s="83">
        <v>0</v>
      </c>
      <c r="L182" s="83">
        <v>0</v>
      </c>
      <c r="M182" s="83">
        <v>0</v>
      </c>
      <c r="N182" s="83">
        <v>0</v>
      </c>
      <c r="O182" s="83">
        <v>0</v>
      </c>
      <c r="P182" s="83">
        <v>0</v>
      </c>
      <c r="Q182" s="83">
        <v>0</v>
      </c>
    </row>
    <row r="183" spans="2:29" s="44" customFormat="1" x14ac:dyDescent="0.2">
      <c r="B183" t="s">
        <v>405</v>
      </c>
      <c r="D183" s="207" t="s">
        <v>410</v>
      </c>
      <c r="E183" s="207" t="s">
        <v>410</v>
      </c>
      <c r="F183" s="207" t="s">
        <v>410</v>
      </c>
      <c r="G183" s="207" t="s">
        <v>403</v>
      </c>
      <c r="H183" s="207" t="s">
        <v>403</v>
      </c>
      <c r="I183" s="207" t="s">
        <v>403</v>
      </c>
      <c r="J183" s="207" t="s">
        <v>415</v>
      </c>
      <c r="K183" s="207" t="s">
        <v>416</v>
      </c>
      <c r="L183" s="207" t="s">
        <v>415</v>
      </c>
      <c r="M183" s="207" t="s">
        <v>416</v>
      </c>
      <c r="N183" s="207" t="s">
        <v>416</v>
      </c>
      <c r="O183" s="207">
        <v>4</v>
      </c>
      <c r="P183" s="207" t="s">
        <v>404</v>
      </c>
      <c r="Q183" s="207" t="s">
        <v>404</v>
      </c>
    </row>
    <row r="184" spans="2:29" s="44" customFormat="1" x14ac:dyDescent="0.2">
      <c r="B184" t="s">
        <v>402</v>
      </c>
      <c r="D184" s="207" t="s">
        <v>412</v>
      </c>
      <c r="E184" s="207" t="s">
        <v>412</v>
      </c>
      <c r="F184" s="207" t="s">
        <v>412</v>
      </c>
      <c r="G184" s="207" t="s">
        <v>412</v>
      </c>
      <c r="H184" s="207" t="s">
        <v>413</v>
      </c>
      <c r="I184" s="207" t="s">
        <v>414</v>
      </c>
      <c r="J184" s="207" t="s">
        <v>414</v>
      </c>
      <c r="K184" s="207" t="s">
        <v>414</v>
      </c>
      <c r="L184" s="207" t="s">
        <v>414</v>
      </c>
      <c r="M184" s="207" t="s">
        <v>414</v>
      </c>
      <c r="N184" s="207" t="s">
        <v>414</v>
      </c>
      <c r="O184" s="207" t="s">
        <v>417</v>
      </c>
      <c r="P184" s="207" t="s">
        <v>417</v>
      </c>
      <c r="Q184" s="207" t="s">
        <v>417</v>
      </c>
    </row>
    <row r="185" spans="2:29" s="44" customFormat="1" x14ac:dyDescent="0.2">
      <c r="B185" t="s">
        <v>407</v>
      </c>
      <c r="D185" s="207" t="s">
        <v>411</v>
      </c>
      <c r="E185" s="207" t="s">
        <v>411</v>
      </c>
      <c r="F185" s="207" t="s">
        <v>411</v>
      </c>
      <c r="G185" s="207" t="s">
        <v>403</v>
      </c>
      <c r="H185" s="207" t="s">
        <v>403</v>
      </c>
      <c r="I185" s="207" t="s">
        <v>403</v>
      </c>
      <c r="J185" s="207" t="s">
        <v>403</v>
      </c>
      <c r="K185" s="207" t="s">
        <v>411</v>
      </c>
      <c r="L185" s="207" t="s">
        <v>411</v>
      </c>
      <c r="M185" s="207" t="s">
        <v>411</v>
      </c>
      <c r="N185" s="207" t="s">
        <v>411</v>
      </c>
      <c r="O185" s="207" t="s">
        <v>418</v>
      </c>
      <c r="P185" s="207" t="s">
        <v>418</v>
      </c>
      <c r="Q185" s="207" t="s">
        <v>418</v>
      </c>
    </row>
    <row r="186" spans="2:29" s="44" customFormat="1" x14ac:dyDescent="0.2">
      <c r="B186" t="s">
        <v>408</v>
      </c>
      <c r="D186" s="207" t="s">
        <v>127</v>
      </c>
      <c r="E186" s="207" t="s">
        <v>127</v>
      </c>
      <c r="F186" s="207" t="s">
        <v>127</v>
      </c>
      <c r="G186" s="207" t="s">
        <v>127</v>
      </c>
      <c r="H186" s="207" t="s">
        <v>127</v>
      </c>
      <c r="I186" s="207" t="s">
        <v>127</v>
      </c>
      <c r="J186" s="207" t="s">
        <v>127</v>
      </c>
      <c r="K186" s="207" t="s">
        <v>127</v>
      </c>
      <c r="L186" s="207" t="s">
        <v>127</v>
      </c>
      <c r="M186" s="207" t="s">
        <v>416</v>
      </c>
      <c r="N186" s="207" t="s">
        <v>416</v>
      </c>
      <c r="O186" s="207" t="s">
        <v>416</v>
      </c>
      <c r="P186" s="207" t="s">
        <v>416</v>
      </c>
      <c r="Q186" s="207" t="s">
        <v>416</v>
      </c>
    </row>
    <row r="188" spans="2:29" x14ac:dyDescent="0.2">
      <c r="B188" s="60" t="s">
        <v>419</v>
      </c>
      <c r="O188" s="209" t="s">
        <v>420</v>
      </c>
      <c r="P188" s="208" t="s">
        <v>421</v>
      </c>
    </row>
    <row r="189" spans="2:29" x14ac:dyDescent="0.2">
      <c r="P189" s="208" t="s">
        <v>422</v>
      </c>
    </row>
    <row r="190" spans="2:29" x14ac:dyDescent="0.2">
      <c r="B190" s="54" t="s">
        <v>530</v>
      </c>
    </row>
    <row r="191" spans="2:29" x14ac:dyDescent="0.2">
      <c r="B191" t="s">
        <v>531</v>
      </c>
      <c r="G191" s="270">
        <f>+G152/G165</f>
        <v>4.7829099307159355</v>
      </c>
      <c r="H191" s="270">
        <f t="shared" ref="H191:Q191" si="102">+H152/H165</f>
        <v>6.2597402597402594</v>
      </c>
      <c r="I191" s="270">
        <f t="shared" si="102"/>
        <v>6.435390946502058</v>
      </c>
      <c r="J191" s="270">
        <f t="shared" si="102"/>
        <v>7.4186046511627906</v>
      </c>
      <c r="K191" s="270">
        <f t="shared" si="102"/>
        <v>7.8598371195885131</v>
      </c>
      <c r="L191" s="270">
        <f t="shared" si="102"/>
        <v>8.5912925170068029</v>
      </c>
      <c r="M191" s="270">
        <f t="shared" si="102"/>
        <v>8.8793203321104457</v>
      </c>
      <c r="N191" s="270">
        <f t="shared" si="102"/>
        <v>9.5556425105650344</v>
      </c>
      <c r="O191" s="270">
        <f t="shared" si="102"/>
        <v>10.302777777777777</v>
      </c>
      <c r="P191" s="270">
        <f t="shared" si="102"/>
        <v>12.29184801788025</v>
      </c>
      <c r="Q191" s="270">
        <f t="shared" si="102"/>
        <v>11.774621040210583</v>
      </c>
      <c r="R191" s="270">
        <f t="shared" ref="R191:AC191" si="103">+R152/R165</f>
        <v>10.813207251416257</v>
      </c>
      <c r="S191" s="270">
        <f t="shared" si="103"/>
        <v>10.807376436691042</v>
      </c>
      <c r="T191" s="270">
        <f t="shared" si="103"/>
        <v>11.076348515024874</v>
      </c>
      <c r="U191" s="270">
        <f t="shared" si="103"/>
        <v>11.110519127826164</v>
      </c>
      <c r="V191" s="270">
        <f t="shared" si="103"/>
        <v>11.068349945753818</v>
      </c>
      <c r="W191" s="270">
        <f t="shared" si="103"/>
        <v>11.073556500045401</v>
      </c>
      <c r="X191" s="270">
        <f t="shared" si="103"/>
        <v>11.113681189315601</v>
      </c>
      <c r="Y191" s="270">
        <f t="shared" si="103"/>
        <v>11.398314578462141</v>
      </c>
      <c r="Z191" s="270">
        <f t="shared" si="103"/>
        <v>11.780962619203587</v>
      </c>
      <c r="AA191" s="270">
        <f t="shared" si="103"/>
        <v>12.138827746959651</v>
      </c>
      <c r="AB191" s="270">
        <f t="shared" si="103"/>
        <v>12.318075743752878</v>
      </c>
      <c r="AC191" s="270">
        <f t="shared" si="103"/>
        <v>12.464174024911957</v>
      </c>
    </row>
    <row r="192" spans="2:29" x14ac:dyDescent="0.2">
      <c r="B192" t="s">
        <v>532</v>
      </c>
      <c r="G192" s="270">
        <f>+G153/G165</f>
        <v>4.3475750577367203</v>
      </c>
      <c r="H192" s="270">
        <f t="shared" ref="H192:Q192" si="104">+H153/H165</f>
        <v>5.4610389610389607</v>
      </c>
      <c r="I192" s="270">
        <f t="shared" si="104"/>
        <v>5.9234567901234572</v>
      </c>
      <c r="J192" s="270">
        <f t="shared" si="104"/>
        <v>6.2306725329981143</v>
      </c>
      <c r="K192" s="270">
        <f t="shared" si="104"/>
        <v>6.5773681954564935</v>
      </c>
      <c r="L192" s="270">
        <f t="shared" si="104"/>
        <v>6.6244897959183673</v>
      </c>
      <c r="M192" s="270">
        <f t="shared" si="104"/>
        <v>6.9293299864838769</v>
      </c>
      <c r="N192" s="270">
        <f t="shared" si="104"/>
        <v>7.788855845985287</v>
      </c>
      <c r="O192" s="270">
        <f t="shared" si="104"/>
        <v>8.3600529100529108</v>
      </c>
      <c r="P192" s="270">
        <f t="shared" si="104"/>
        <v>9.3449005999294208</v>
      </c>
      <c r="Q192" s="270">
        <f t="shared" si="104"/>
        <v>9.5717527457565588</v>
      </c>
      <c r="R192" s="270">
        <f t="shared" ref="R192:AC192" si="105">+R153/R165</f>
        <v>9.1262059483691775</v>
      </c>
      <c r="S192" s="270">
        <f t="shared" si="105"/>
        <v>9.261425621427346</v>
      </c>
      <c r="T192" s="270">
        <f t="shared" si="105"/>
        <v>9.507897622228505</v>
      </c>
      <c r="U192" s="270">
        <f t="shared" si="105"/>
        <v>9.6025208495034242</v>
      </c>
      <c r="V192" s="270">
        <f t="shared" si="105"/>
        <v>9.6645324947155373</v>
      </c>
      <c r="W192" s="270">
        <f t="shared" si="105"/>
        <v>9.7879112117784022</v>
      </c>
      <c r="X192" s="270">
        <f t="shared" si="105"/>
        <v>9.9508890057450827</v>
      </c>
      <c r="Y192" s="270">
        <f t="shared" si="105"/>
        <v>10.341682026220504</v>
      </c>
      <c r="Z192" s="270">
        <f t="shared" si="105"/>
        <v>10.832034831385297</v>
      </c>
      <c r="AA192" s="270">
        <f t="shared" si="105"/>
        <v>11.309251364032914</v>
      </c>
      <c r="AB192" s="270">
        <f t="shared" si="105"/>
        <v>11.625675272160452</v>
      </c>
      <c r="AC192" s="270">
        <f t="shared" si="105"/>
        <v>11.912631938177642</v>
      </c>
    </row>
    <row r="193" spans="2:29" x14ac:dyDescent="0.2">
      <c r="B193" t="s">
        <v>533</v>
      </c>
      <c r="G193" s="270">
        <f>+G172/G165</f>
        <v>3.3279445727482679</v>
      </c>
      <c r="H193" s="270">
        <f t="shared" ref="H193:Q193" si="106">+H172/H165</f>
        <v>4.2932900432900434</v>
      </c>
      <c r="I193" s="270">
        <f t="shared" si="106"/>
        <v>4.6806584362139914</v>
      </c>
      <c r="J193" s="270">
        <f t="shared" si="106"/>
        <v>5.3997485857950975</v>
      </c>
      <c r="K193" s="270">
        <f t="shared" si="106"/>
        <v>5.8812687526789542</v>
      </c>
      <c r="L193" s="270">
        <f t="shared" si="106"/>
        <v>6.7164625850340132</v>
      </c>
      <c r="M193" s="270">
        <f t="shared" si="106"/>
        <v>6.8204286541803434</v>
      </c>
      <c r="N193" s="270">
        <f t="shared" si="106"/>
        <v>7.1424323055251211</v>
      </c>
      <c r="O193" s="270">
        <f t="shared" si="106"/>
        <v>7.6466931216931213</v>
      </c>
      <c r="P193" s="270">
        <f t="shared" si="106"/>
        <v>9.3539583578402539</v>
      </c>
      <c r="Q193" s="270">
        <f t="shared" si="106"/>
        <v>8.7670872288281743</v>
      </c>
      <c r="R193" s="270">
        <f t="shared" ref="R193:AC193" si="107">+R172/R165</f>
        <v>7.8953815932904332</v>
      </c>
      <c r="S193" s="270">
        <f t="shared" si="107"/>
        <v>7.7589640499697312</v>
      </c>
      <c r="T193" s="270">
        <f t="shared" si="107"/>
        <v>7.7964029431598254</v>
      </c>
      <c r="U193" s="270">
        <f t="shared" si="107"/>
        <v>7.6607652076661052</v>
      </c>
      <c r="V193" s="270">
        <f t="shared" si="107"/>
        <v>7.4479142228817743</v>
      </c>
      <c r="W193" s="270">
        <f t="shared" si="107"/>
        <v>7.2568676286033176</v>
      </c>
      <c r="X193" s="270">
        <f t="shared" si="107"/>
        <v>7.1292859630430998</v>
      </c>
      <c r="Y193" s="270">
        <f t="shared" si="107"/>
        <v>7.2077438624546915</v>
      </c>
      <c r="Z193" s="270">
        <f t="shared" si="107"/>
        <v>7.3914000561474706</v>
      </c>
      <c r="AA193" s="270">
        <f t="shared" si="107"/>
        <v>7.5905068770733788</v>
      </c>
      <c r="AB193" s="270">
        <f t="shared" si="107"/>
        <v>7.6876768052764506</v>
      </c>
      <c r="AC193" s="270">
        <f t="shared" si="107"/>
        <v>7.7688411708287548</v>
      </c>
    </row>
    <row r="194" spans="2:29" x14ac:dyDescent="0.2">
      <c r="B194" s="54"/>
    </row>
    <row r="195" spans="2:29" x14ac:dyDescent="0.2">
      <c r="B195" s="54"/>
    </row>
  </sheetData>
  <pageMargins left="0.3" right="0.3" top="0.3" bottom="0.3" header="0.3" footer="0.3"/>
  <pageSetup scale="53" fitToHeight="0" orientation="portrait" r:id="rId1"/>
  <headerFooter>
    <oddFooter>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E780-4F90-4108-A3FD-8B11F2382D7F}">
  <sheetPr>
    <pageSetUpPr fitToPage="1"/>
  </sheetPr>
  <dimension ref="B2:D23"/>
  <sheetViews>
    <sheetView showGridLines="0" view="pageBreakPreview" zoomScale="115" zoomScaleNormal="100" zoomScaleSheetLayoutView="115" workbookViewId="0">
      <selection activeCell="D2" sqref="D2"/>
    </sheetView>
  </sheetViews>
  <sheetFormatPr defaultRowHeight="11.25" x14ac:dyDescent="0.2"/>
  <cols>
    <col min="1" max="1" width="2.83203125" customWidth="1"/>
    <col min="4" max="4" width="150.83203125" customWidth="1"/>
  </cols>
  <sheetData>
    <row r="2" spans="2:4" s="44" customFormat="1" x14ac:dyDescent="0.2">
      <c r="B2" s="44" t="s">
        <v>327</v>
      </c>
      <c r="D2" s="174">
        <f>+'Simple Model - Case 1'!X2</f>
        <v>45657</v>
      </c>
    </row>
    <row r="3" spans="2:4" s="46" customFormat="1" x14ac:dyDescent="0.2">
      <c r="B3" s="46" t="s">
        <v>472</v>
      </c>
    </row>
    <row r="4" spans="2:4" x14ac:dyDescent="0.2">
      <c r="B4" s="76" t="s">
        <v>275</v>
      </c>
    </row>
    <row r="6" spans="2:4" ht="13.5" x14ac:dyDescent="0.35">
      <c r="B6" s="243" t="s">
        <v>470</v>
      </c>
      <c r="C6" s="51" t="s">
        <v>471</v>
      </c>
      <c r="D6" s="51" t="s">
        <v>472</v>
      </c>
    </row>
    <row r="7" spans="2:4" ht="22.5" x14ac:dyDescent="0.2">
      <c r="B7" s="244">
        <v>44958</v>
      </c>
      <c r="C7" s="245" t="s">
        <v>335</v>
      </c>
      <c r="D7" s="246" t="s">
        <v>473</v>
      </c>
    </row>
    <row r="8" spans="2:4" ht="112.5" x14ac:dyDescent="0.2">
      <c r="B8" s="244">
        <v>44958</v>
      </c>
      <c r="C8" s="245" t="s">
        <v>357</v>
      </c>
      <c r="D8" s="246" t="s">
        <v>474</v>
      </c>
    </row>
    <row r="9" spans="2:4" ht="123.75" x14ac:dyDescent="0.2">
      <c r="B9" s="244">
        <v>45042</v>
      </c>
      <c r="C9" s="245" t="s">
        <v>350</v>
      </c>
      <c r="D9" s="246" t="s">
        <v>475</v>
      </c>
    </row>
    <row r="10" spans="2:4" ht="90" x14ac:dyDescent="0.2">
      <c r="B10" s="244">
        <v>45042</v>
      </c>
      <c r="C10" s="245" t="s">
        <v>357</v>
      </c>
      <c r="D10" s="246" t="s">
        <v>476</v>
      </c>
    </row>
    <row r="11" spans="2:4" ht="22.5" x14ac:dyDescent="0.2">
      <c r="B11" s="244">
        <v>45133</v>
      </c>
      <c r="C11" s="245" t="s">
        <v>358</v>
      </c>
      <c r="D11" s="246" t="s">
        <v>477</v>
      </c>
    </row>
    <row r="12" spans="2:4" ht="202.5" x14ac:dyDescent="0.2">
      <c r="B12" s="244">
        <v>45133</v>
      </c>
      <c r="C12" s="245" t="s">
        <v>357</v>
      </c>
      <c r="D12" s="246" t="s">
        <v>478</v>
      </c>
    </row>
    <row r="13" spans="2:4" ht="45" x14ac:dyDescent="0.2">
      <c r="B13" s="244">
        <v>45224</v>
      </c>
      <c r="C13" s="245" t="s">
        <v>359</v>
      </c>
      <c r="D13" s="246" t="s">
        <v>479</v>
      </c>
    </row>
    <row r="14" spans="2:4" ht="90" x14ac:dyDescent="0.2">
      <c r="B14" s="244">
        <v>45224</v>
      </c>
      <c r="C14" s="245" t="s">
        <v>357</v>
      </c>
      <c r="D14" s="246" t="s">
        <v>480</v>
      </c>
    </row>
    <row r="15" spans="2:4" ht="123.75" x14ac:dyDescent="0.2">
      <c r="B15" s="244">
        <v>45224</v>
      </c>
      <c r="C15" s="245" t="s">
        <v>481</v>
      </c>
      <c r="D15" s="246" t="s">
        <v>482</v>
      </c>
    </row>
    <row r="16" spans="2:4" ht="22.5" x14ac:dyDescent="0.2">
      <c r="B16" s="244">
        <v>45323</v>
      </c>
      <c r="C16" s="245" t="s">
        <v>360</v>
      </c>
      <c r="D16" s="246" t="s">
        <v>483</v>
      </c>
    </row>
    <row r="17" spans="2:4" ht="135" x14ac:dyDescent="0.2">
      <c r="B17" s="244">
        <v>45323</v>
      </c>
      <c r="C17" s="245" t="s">
        <v>481</v>
      </c>
      <c r="D17" s="246" t="s">
        <v>484</v>
      </c>
    </row>
    <row r="18" spans="2:4" ht="22.5" x14ac:dyDescent="0.2">
      <c r="B18" s="244">
        <v>45406</v>
      </c>
      <c r="C18" s="245" t="s">
        <v>485</v>
      </c>
      <c r="D18" s="246" t="s">
        <v>486</v>
      </c>
    </row>
    <row r="19" spans="2:4" ht="101.25" x14ac:dyDescent="0.2">
      <c r="B19" s="244">
        <v>45406</v>
      </c>
      <c r="C19" s="245" t="s">
        <v>481</v>
      </c>
      <c r="D19" s="246" t="s">
        <v>487</v>
      </c>
    </row>
    <row r="20" spans="2:4" ht="22.5" x14ac:dyDescent="0.2">
      <c r="B20" s="244">
        <v>45504</v>
      </c>
      <c r="C20" s="245" t="s">
        <v>490</v>
      </c>
      <c r="D20" s="246" t="s">
        <v>580</v>
      </c>
    </row>
    <row r="21" spans="2:4" ht="101.25" x14ac:dyDescent="0.2">
      <c r="B21" s="244">
        <v>45504</v>
      </c>
      <c r="C21" s="245" t="s">
        <v>481</v>
      </c>
      <c r="D21" s="246" t="s">
        <v>581</v>
      </c>
    </row>
    <row r="22" spans="2:4" ht="22.5" x14ac:dyDescent="0.2">
      <c r="B22" s="244">
        <v>45595</v>
      </c>
      <c r="C22" s="245" t="s">
        <v>491</v>
      </c>
      <c r="D22" s="246" t="s">
        <v>582</v>
      </c>
    </row>
    <row r="23" spans="2:4" ht="90" x14ac:dyDescent="0.2">
      <c r="B23" s="244">
        <v>45595</v>
      </c>
      <c r="C23" s="245" t="s">
        <v>481</v>
      </c>
      <c r="D23" s="246" t="s">
        <v>583</v>
      </c>
    </row>
  </sheetData>
  <pageMargins left="0.3" right="0.3" top="0.3" bottom="0.5" header="0.3" footer="0.3"/>
  <pageSetup scale="57" orientation="portrait" r:id="rId1"/>
  <headerFooter>
    <oddFoote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8121-22E0-4677-97C7-9F33B20032C2}">
  <sheetPr>
    <pageSetUpPr fitToPage="1"/>
  </sheetPr>
  <dimension ref="B2:AN193"/>
  <sheetViews>
    <sheetView view="pageBreakPreview" zoomScale="85" zoomScaleNormal="85" zoomScaleSheetLayoutView="85" workbookViewId="0">
      <pane xSplit="3" ySplit="6" topLeftCell="D7" activePane="bottomRight" state="frozen"/>
      <selection activeCell="E89" sqref="E89"/>
      <selection pane="topRight" activeCell="E89" sqref="E89"/>
      <selection pane="bottomLeft" activeCell="E89" sqref="E89"/>
      <selection pane="bottomRight" activeCell="AE2" sqref="AE2"/>
    </sheetView>
  </sheetViews>
  <sheetFormatPr defaultRowHeight="11.25" outlineLevelRow="1" outlineLevelCol="1" x14ac:dyDescent="0.2"/>
  <cols>
    <col min="1" max="1" width="2.83203125" customWidth="1"/>
    <col min="2" max="2" width="20.83203125" customWidth="1"/>
    <col min="3" max="3" width="2.83203125" customWidth="1"/>
    <col min="4" max="6" width="9.33203125" hidden="1" customWidth="1" outlineLevel="1"/>
    <col min="7" max="7" width="9.33203125" collapsed="1"/>
  </cols>
  <sheetData>
    <row r="2" spans="2:29" s="44" customFormat="1" x14ac:dyDescent="0.2">
      <c r="B2" s="44" t="s">
        <v>327</v>
      </c>
      <c r="AC2" s="174">
        <f>+'Simple Model - Case 2'!X2</f>
        <v>45657</v>
      </c>
    </row>
    <row r="3" spans="2:29" s="46" customFormat="1" x14ac:dyDescent="0.2">
      <c r="B3" s="46" t="s">
        <v>427</v>
      </c>
    </row>
    <row r="4" spans="2:29" x14ac:dyDescent="0.2">
      <c r="B4" s="76" t="s">
        <v>275</v>
      </c>
    </row>
    <row r="5" spans="2:29" x14ac:dyDescent="0.2">
      <c r="B5" s="76"/>
      <c r="D5" s="162" t="s">
        <v>278</v>
      </c>
      <c r="E5" s="162"/>
      <c r="F5" s="162"/>
      <c r="G5" s="162" t="s">
        <v>278</v>
      </c>
      <c r="H5" s="162"/>
      <c r="I5" s="162"/>
      <c r="J5" s="162"/>
      <c r="K5" s="162"/>
      <c r="L5" s="162"/>
      <c r="M5" s="162"/>
      <c r="N5" s="162"/>
      <c r="O5" s="162"/>
      <c r="P5" s="162"/>
      <c r="Q5" s="162"/>
      <c r="R5" s="162"/>
      <c r="S5" s="162"/>
      <c r="T5" s="162"/>
      <c r="U5" s="162"/>
      <c r="V5" s="162"/>
      <c r="W5" s="162"/>
      <c r="X5" s="162"/>
      <c r="Y5" s="162"/>
      <c r="Z5" s="162"/>
      <c r="AA5" s="162"/>
      <c r="AB5" s="162"/>
      <c r="AC5" s="162"/>
    </row>
    <row r="6" spans="2:29" ht="13.5" x14ac:dyDescent="0.35">
      <c r="D6" s="51" t="s">
        <v>105</v>
      </c>
      <c r="E6" s="51" t="s">
        <v>371</v>
      </c>
      <c r="F6" s="51" t="s">
        <v>106</v>
      </c>
      <c r="G6" s="51" t="s">
        <v>107</v>
      </c>
      <c r="H6" s="51" t="s">
        <v>0</v>
      </c>
      <c r="I6" s="51" t="s">
        <v>1</v>
      </c>
      <c r="J6" s="51" t="s">
        <v>2</v>
      </c>
      <c r="K6" s="51" t="s">
        <v>3</v>
      </c>
      <c r="L6" s="51" t="s">
        <v>4</v>
      </c>
      <c r="M6" s="51" t="s">
        <v>5</v>
      </c>
      <c r="N6" s="51" t="s">
        <v>6</v>
      </c>
      <c r="O6" s="51" t="s">
        <v>321</v>
      </c>
      <c r="P6" s="51" t="s">
        <v>306</v>
      </c>
      <c r="Q6" s="51" t="s">
        <v>357</v>
      </c>
      <c r="R6" s="51" t="s">
        <v>7</v>
      </c>
      <c r="S6" s="51" t="s">
        <v>8</v>
      </c>
      <c r="T6" s="51" t="s">
        <v>9</v>
      </c>
      <c r="U6" s="51" t="s">
        <v>10</v>
      </c>
      <c r="V6" s="51" t="s">
        <v>11</v>
      </c>
      <c r="W6" s="51" t="s">
        <v>12</v>
      </c>
      <c r="X6" s="51" t="s">
        <v>13</v>
      </c>
      <c r="Y6" s="51" t="s">
        <v>14</v>
      </c>
      <c r="Z6" s="51" t="s">
        <v>15</v>
      </c>
      <c r="AA6" s="51" t="s">
        <v>325</v>
      </c>
      <c r="AB6" s="51" t="s">
        <v>346</v>
      </c>
      <c r="AC6" s="51" t="s">
        <v>426</v>
      </c>
    </row>
    <row r="8" spans="2:29" x14ac:dyDescent="0.2">
      <c r="B8" s="52" t="s">
        <v>372</v>
      </c>
      <c r="C8" s="53"/>
    </row>
    <row r="10" spans="2:29" x14ac:dyDescent="0.2">
      <c r="B10" s="54" t="s">
        <v>373</v>
      </c>
    </row>
    <row r="11" spans="2:29" x14ac:dyDescent="0.2">
      <c r="B11" t="s">
        <v>374</v>
      </c>
      <c r="I11" s="205">
        <v>6</v>
      </c>
    </row>
    <row r="12" spans="2:29" x14ac:dyDescent="0.2">
      <c r="B12" s="104" t="s">
        <v>424</v>
      </c>
      <c r="I12" s="205">
        <v>7</v>
      </c>
    </row>
    <row r="13" spans="2:29" x14ac:dyDescent="0.2">
      <c r="B13" s="104" t="s">
        <v>425</v>
      </c>
      <c r="I13" s="205">
        <v>7.5</v>
      </c>
    </row>
    <row r="14" spans="2:29" x14ac:dyDescent="0.2">
      <c r="B14" s="104" t="s">
        <v>423</v>
      </c>
      <c r="I14" s="205">
        <v>8</v>
      </c>
    </row>
    <row r="16" spans="2:29" x14ac:dyDescent="0.2">
      <c r="B16" s="54" t="s">
        <v>375</v>
      </c>
    </row>
    <row r="17" spans="2:34" x14ac:dyDescent="0.2">
      <c r="B17" t="s">
        <v>376</v>
      </c>
      <c r="D17" s="64"/>
      <c r="E17" s="64">
        <f t="shared" ref="E17:Q17" si="0">+E156</f>
        <v>606</v>
      </c>
      <c r="F17" s="64">
        <f t="shared" si="0"/>
        <v>1235</v>
      </c>
      <c r="G17" s="64">
        <f t="shared" si="0"/>
        <v>1362</v>
      </c>
      <c r="H17" s="64">
        <f t="shared" si="0"/>
        <v>1831</v>
      </c>
      <c r="I17" s="64">
        <f t="shared" si="0"/>
        <v>2523</v>
      </c>
      <c r="J17" s="64">
        <f t="shared" si="0"/>
        <v>4491</v>
      </c>
      <c r="K17" s="64">
        <f t="shared" si="0"/>
        <v>6733</v>
      </c>
      <c r="L17" s="64">
        <f t="shared" si="0"/>
        <v>13915</v>
      </c>
      <c r="M17" s="64">
        <f t="shared" si="0"/>
        <v>15102</v>
      </c>
      <c r="N17" s="64">
        <f t="shared" si="0"/>
        <v>15115</v>
      </c>
      <c r="O17" s="64">
        <f t="shared" si="0"/>
        <v>18567</v>
      </c>
      <c r="P17" s="64">
        <f t="shared" si="0"/>
        <v>31431</v>
      </c>
      <c r="Q17" s="64">
        <f t="shared" si="0"/>
        <v>27266</v>
      </c>
      <c r="R17" s="196">
        <f>+'Simple Model - Case 2'!J41</f>
        <v>37974.480794708994</v>
      </c>
      <c r="S17" s="196">
        <f>+'Simple Model - Case 2'!K41</f>
        <v>45910.518860222342</v>
      </c>
      <c r="T17" s="196">
        <f>+'Simple Model - Case 2'!L41</f>
        <v>49206.592174162841</v>
      </c>
      <c r="U17" s="196">
        <f>+'Simple Model - Case 2'!M41</f>
        <v>52097.001470226278</v>
      </c>
      <c r="V17" s="196">
        <f>+'Simple Model - Case 2'!N41</f>
        <v>57411.661724657599</v>
      </c>
      <c r="W17" s="196">
        <f>+'Simple Model - Case 2'!O41</f>
        <v>62844.013080020246</v>
      </c>
      <c r="X17" s="196">
        <f>+'Simple Model - Case 2'!P41</f>
        <v>68307.1129279655</v>
      </c>
      <c r="Y17" s="196">
        <f>+'Simple Model - Case 2'!Q41</f>
        <v>78301.837082446029</v>
      </c>
      <c r="Z17" s="196">
        <f>+'Simple Model - Case 2'!R41</f>
        <v>89404.243777071097</v>
      </c>
      <c r="AA17" s="196">
        <f>+'Simple Model - Case 2'!S41</f>
        <v>101677.3495292665</v>
      </c>
      <c r="AB17" s="196">
        <f>+'Simple Model - Case 2'!T41</f>
        <v>115178.09818372884</v>
      </c>
      <c r="AC17" s="196">
        <f>+'Simple Model - Case 2'!U41</f>
        <v>129955.5524435316</v>
      </c>
    </row>
    <row r="18" spans="2:34" ht="13.5" x14ac:dyDescent="0.35">
      <c r="B18" t="s">
        <v>377</v>
      </c>
      <c r="D18" s="65"/>
      <c r="E18" s="65">
        <f t="shared" ref="E18:Q18" si="1">+E157</f>
        <v>0</v>
      </c>
      <c r="F18" s="65">
        <f t="shared" si="1"/>
        <v>0</v>
      </c>
      <c r="G18" s="65">
        <f t="shared" si="1"/>
        <v>0</v>
      </c>
      <c r="H18" s="65">
        <f t="shared" si="1"/>
        <v>0</v>
      </c>
      <c r="I18" s="65">
        <f t="shared" si="1"/>
        <v>0</v>
      </c>
      <c r="J18" s="65">
        <f t="shared" si="1"/>
        <v>0</v>
      </c>
      <c r="K18" s="65">
        <f t="shared" si="1"/>
        <v>0</v>
      </c>
      <c r="L18" s="65">
        <f t="shared" si="1"/>
        <v>0</v>
      </c>
      <c r="M18" s="65">
        <f t="shared" si="1"/>
        <v>0</v>
      </c>
      <c r="N18" s="65">
        <f t="shared" si="1"/>
        <v>0</v>
      </c>
      <c r="O18" s="65">
        <f t="shared" si="1"/>
        <v>0</v>
      </c>
      <c r="P18" s="65">
        <f t="shared" si="1"/>
        <v>-245</v>
      </c>
      <c r="Q18" s="65">
        <f t="shared" si="1"/>
        <v>-221</v>
      </c>
      <c r="R18" s="71">
        <v>0</v>
      </c>
      <c r="S18" s="71">
        <v>0</v>
      </c>
      <c r="T18" s="71">
        <v>0</v>
      </c>
      <c r="U18" s="71">
        <v>0</v>
      </c>
      <c r="V18" s="71">
        <v>0</v>
      </c>
      <c r="W18" s="71">
        <v>0</v>
      </c>
      <c r="X18" s="71">
        <v>0</v>
      </c>
      <c r="Y18" s="71">
        <v>0</v>
      </c>
      <c r="Z18" s="71">
        <v>0</v>
      </c>
      <c r="AA18" s="71">
        <v>0</v>
      </c>
      <c r="AB18" s="71">
        <v>0</v>
      </c>
      <c r="AC18" s="71">
        <v>0</v>
      </c>
    </row>
    <row r="19" spans="2:34" s="44" customFormat="1" x14ac:dyDescent="0.2">
      <c r="B19" s="110" t="s">
        <v>378</v>
      </c>
      <c r="D19" s="111"/>
      <c r="E19" s="111">
        <f t="shared" ref="E19:Q19" si="2">SUM(E17:E18)</f>
        <v>606</v>
      </c>
      <c r="F19" s="111">
        <f t="shared" si="2"/>
        <v>1235</v>
      </c>
      <c r="G19" s="111">
        <f t="shared" si="2"/>
        <v>1362</v>
      </c>
      <c r="H19" s="111">
        <f t="shared" si="2"/>
        <v>1831</v>
      </c>
      <c r="I19" s="111">
        <f t="shared" si="2"/>
        <v>2523</v>
      </c>
      <c r="J19" s="111">
        <f t="shared" si="2"/>
        <v>4491</v>
      </c>
      <c r="K19" s="111">
        <f t="shared" si="2"/>
        <v>6733</v>
      </c>
      <c r="L19" s="111">
        <f t="shared" si="2"/>
        <v>13915</v>
      </c>
      <c r="M19" s="111">
        <f t="shared" si="2"/>
        <v>15102</v>
      </c>
      <c r="N19" s="111">
        <f t="shared" si="2"/>
        <v>15115</v>
      </c>
      <c r="O19" s="111">
        <f t="shared" si="2"/>
        <v>18567</v>
      </c>
      <c r="P19" s="111">
        <f t="shared" si="2"/>
        <v>31186</v>
      </c>
      <c r="Q19" s="111">
        <f t="shared" si="2"/>
        <v>27045</v>
      </c>
      <c r="R19" s="111">
        <f>SUM(R17:R18)</f>
        <v>37974.480794708994</v>
      </c>
      <c r="S19" s="111">
        <f t="shared" ref="S19:AB19" si="3">SUM(S17:S18)</f>
        <v>45910.518860222342</v>
      </c>
      <c r="T19" s="111">
        <f t="shared" si="3"/>
        <v>49206.592174162841</v>
      </c>
      <c r="U19" s="111">
        <f t="shared" si="3"/>
        <v>52097.001470226278</v>
      </c>
      <c r="V19" s="111">
        <f t="shared" si="3"/>
        <v>57411.661724657599</v>
      </c>
      <c r="W19" s="111">
        <f t="shared" si="3"/>
        <v>62844.013080020246</v>
      </c>
      <c r="X19" s="111">
        <f t="shared" si="3"/>
        <v>68307.1129279655</v>
      </c>
      <c r="Y19" s="111">
        <f t="shared" si="3"/>
        <v>78301.837082446029</v>
      </c>
      <c r="Z19" s="111">
        <f t="shared" si="3"/>
        <v>89404.243777071097</v>
      </c>
      <c r="AA19" s="111">
        <f t="shared" si="3"/>
        <v>101677.3495292665</v>
      </c>
      <c r="AB19" s="111">
        <f t="shared" si="3"/>
        <v>115178.09818372884</v>
      </c>
      <c r="AC19" s="111">
        <f>SUM(AC17:AC18)</f>
        <v>129955.5524435316</v>
      </c>
      <c r="AD19" s="111"/>
    </row>
    <row r="20" spans="2:34" ht="13.5" x14ac:dyDescent="0.35">
      <c r="B20" t="s">
        <v>379</v>
      </c>
      <c r="D20" s="65"/>
      <c r="E20" s="65">
        <f t="shared" ref="E20:Q20" si="4">+E21-E19</f>
        <v>366</v>
      </c>
      <c r="F20" s="65">
        <f t="shared" si="4"/>
        <v>-4</v>
      </c>
      <c r="G20" s="65">
        <f t="shared" si="4"/>
        <v>-426</v>
      </c>
      <c r="H20" s="65">
        <f t="shared" si="4"/>
        <v>-550</v>
      </c>
      <c r="I20" s="65">
        <f t="shared" si="4"/>
        <v>-372</v>
      </c>
      <c r="J20" s="65">
        <f t="shared" si="4"/>
        <v>-1775</v>
      </c>
      <c r="K20" s="65">
        <f t="shared" si="4"/>
        <v>-1301</v>
      </c>
      <c r="L20" s="65">
        <f t="shared" si="4"/>
        <v>-4915</v>
      </c>
      <c r="M20" s="65">
        <f t="shared" si="4"/>
        <v>-3560</v>
      </c>
      <c r="N20" s="65">
        <f t="shared" si="4"/>
        <v>-1239</v>
      </c>
      <c r="O20" s="65">
        <f t="shared" si="4"/>
        <v>-5128</v>
      </c>
      <c r="P20" s="65">
        <f t="shared" si="4"/>
        <v>-14947</v>
      </c>
      <c r="Q20" s="65">
        <f t="shared" si="4"/>
        <v>-1034</v>
      </c>
      <c r="R20" s="71">
        <f>-0.1*R19</f>
        <v>-3797.4480794708998</v>
      </c>
      <c r="S20" s="71">
        <f>-0.15*S19</f>
        <v>-6886.577829033351</v>
      </c>
      <c r="T20" s="71">
        <f>-0.2*T19</f>
        <v>-9841.3184348325685</v>
      </c>
      <c r="U20" s="71">
        <f t="shared" ref="U20:AC20" si="5">+T20/T19*U19*0.9</f>
        <v>-9377.4602646407311</v>
      </c>
      <c r="V20" s="71">
        <f t="shared" si="5"/>
        <v>-9300.6891993945319</v>
      </c>
      <c r="W20" s="71">
        <f t="shared" si="5"/>
        <v>-9162.6571070669524</v>
      </c>
      <c r="X20" s="71">
        <f t="shared" si="5"/>
        <v>-8963.259358407633</v>
      </c>
      <c r="Y20" s="71">
        <f t="shared" si="5"/>
        <v>-9247.2903557627105</v>
      </c>
      <c r="Z20" s="71">
        <f t="shared" si="5"/>
        <v>-9502.6161434260885</v>
      </c>
      <c r="AA20" s="71">
        <f t="shared" si="5"/>
        <v>-9726.3922160129259</v>
      </c>
      <c r="AB20" s="71">
        <f t="shared" si="5"/>
        <v>-9916.0789156511655</v>
      </c>
      <c r="AC20" s="71">
        <f t="shared" si="5"/>
        <v>-10069.488735187633</v>
      </c>
    </row>
    <row r="21" spans="2:34" s="44" customFormat="1" x14ac:dyDescent="0.2">
      <c r="B21" s="110" t="s">
        <v>375</v>
      </c>
      <c r="D21" s="111"/>
      <c r="E21" s="111">
        <f t="shared" ref="E21:P21" si="6">+(E152-E151)-(D152-D151)</f>
        <v>972</v>
      </c>
      <c r="F21" s="111">
        <f t="shared" si="6"/>
        <v>1231</v>
      </c>
      <c r="G21" s="111">
        <f t="shared" si="6"/>
        <v>936</v>
      </c>
      <c r="H21" s="111">
        <f t="shared" si="6"/>
        <v>1281</v>
      </c>
      <c r="I21" s="111">
        <f t="shared" si="6"/>
        <v>2151</v>
      </c>
      <c r="J21" s="111">
        <f t="shared" si="6"/>
        <v>2716</v>
      </c>
      <c r="K21" s="111">
        <f t="shared" si="6"/>
        <v>5432</v>
      </c>
      <c r="L21" s="111">
        <f t="shared" si="6"/>
        <v>9000</v>
      </c>
      <c r="M21" s="111">
        <f t="shared" si="6"/>
        <v>11542</v>
      </c>
      <c r="N21" s="111">
        <f t="shared" si="6"/>
        <v>13876</v>
      </c>
      <c r="O21" s="111">
        <f t="shared" si="6"/>
        <v>13439</v>
      </c>
      <c r="P21" s="111">
        <f t="shared" si="6"/>
        <v>16239</v>
      </c>
      <c r="Q21" s="111">
        <f>+(Q152-Q151)-(P152-P151)</f>
        <v>26011</v>
      </c>
      <c r="R21" s="111">
        <f>+SUM(R19:R20)</f>
        <v>34177.032715238092</v>
      </c>
      <c r="S21" s="111">
        <f t="shared" ref="S21:AB21" si="7">+SUM(S19:S20)</f>
        <v>39023.941031188995</v>
      </c>
      <c r="T21" s="111">
        <f t="shared" si="7"/>
        <v>39365.273739330274</v>
      </c>
      <c r="U21" s="111">
        <f t="shared" si="7"/>
        <v>42719.541205585549</v>
      </c>
      <c r="V21" s="111">
        <f t="shared" si="7"/>
        <v>48110.972525263067</v>
      </c>
      <c r="W21" s="111">
        <f t="shared" si="7"/>
        <v>53681.355972953294</v>
      </c>
      <c r="X21" s="111">
        <f t="shared" si="7"/>
        <v>59343.853569557868</v>
      </c>
      <c r="Y21" s="111">
        <f t="shared" si="7"/>
        <v>69054.546726683315</v>
      </c>
      <c r="Z21" s="111">
        <f t="shared" si="7"/>
        <v>79901.62763364501</v>
      </c>
      <c r="AA21" s="111">
        <f t="shared" si="7"/>
        <v>91950.957313253573</v>
      </c>
      <c r="AB21" s="111">
        <f t="shared" si="7"/>
        <v>105262.01926807768</v>
      </c>
      <c r="AC21" s="111">
        <f>+SUM(AC19:AC20)</f>
        <v>119886.06370834397</v>
      </c>
      <c r="AD21" s="111"/>
    </row>
    <row r="22" spans="2:34" x14ac:dyDescent="0.2">
      <c r="Q22" s="56"/>
    </row>
    <row r="23" spans="2:34" x14ac:dyDescent="0.2">
      <c r="B23" s="54" t="s">
        <v>380</v>
      </c>
    </row>
    <row r="24" spans="2:34" x14ac:dyDescent="0.2">
      <c r="B24" t="s">
        <v>371</v>
      </c>
      <c r="E24" s="64">
        <f>+E62/$I$11</f>
        <v>162</v>
      </c>
      <c r="F24" s="64">
        <f t="shared" ref="F24:N24" si="8">+IF(E116&gt;0,MIN(F62/$I$11,E116),0)</f>
        <v>162</v>
      </c>
      <c r="G24" s="64">
        <f t="shared" si="8"/>
        <v>162</v>
      </c>
      <c r="H24" s="64">
        <f t="shared" si="8"/>
        <v>162</v>
      </c>
      <c r="I24" s="64">
        <f t="shared" si="8"/>
        <v>162</v>
      </c>
      <c r="J24" s="64">
        <f t="shared" si="8"/>
        <v>162</v>
      </c>
      <c r="K24" s="64">
        <f t="shared" si="8"/>
        <v>0</v>
      </c>
      <c r="L24" s="64">
        <f t="shared" si="8"/>
        <v>0</v>
      </c>
      <c r="M24" s="64">
        <f t="shared" si="8"/>
        <v>0</v>
      </c>
      <c r="N24" s="64">
        <f t="shared" si="8"/>
        <v>0</v>
      </c>
      <c r="O24" s="64">
        <f t="shared" ref="O24:O33" si="9">+IF(N116&gt;0,MIN(O62/$I$12,N116),0)</f>
        <v>0</v>
      </c>
      <c r="P24" s="64">
        <f t="shared" ref="P24:P34" si="10">+IF(O116&gt;0,MIN(P62/$I$13,O116),0)</f>
        <v>0</v>
      </c>
      <c r="Q24" s="64">
        <f t="shared" ref="Q24:Q35" si="11">+IF(P116&gt;0,MIN(Q62/$I$14,P116),0)</f>
        <v>0</v>
      </c>
      <c r="R24" s="64">
        <f t="shared" ref="R24:AC24" si="12">+IF(Q116&gt;0,MIN(R62/$I$14,Q116),0)</f>
        <v>0</v>
      </c>
      <c r="S24" s="64">
        <f t="shared" si="12"/>
        <v>0</v>
      </c>
      <c r="T24" s="64">
        <f t="shared" si="12"/>
        <v>0</v>
      </c>
      <c r="U24" s="64">
        <f t="shared" si="12"/>
        <v>0</v>
      </c>
      <c r="V24" s="64">
        <f t="shared" si="12"/>
        <v>0</v>
      </c>
      <c r="W24" s="64">
        <f t="shared" si="12"/>
        <v>0</v>
      </c>
      <c r="X24" s="64">
        <f t="shared" si="12"/>
        <v>0</v>
      </c>
      <c r="Y24" s="64">
        <f t="shared" si="12"/>
        <v>0</v>
      </c>
      <c r="Z24" s="64">
        <f t="shared" si="12"/>
        <v>0</v>
      </c>
      <c r="AA24" s="64">
        <f t="shared" si="12"/>
        <v>0</v>
      </c>
      <c r="AB24" s="64">
        <f t="shared" si="12"/>
        <v>0</v>
      </c>
      <c r="AC24" s="64">
        <f t="shared" si="12"/>
        <v>0</v>
      </c>
    </row>
    <row r="25" spans="2:34" x14ac:dyDescent="0.2">
      <c r="B25" t="s">
        <v>106</v>
      </c>
      <c r="F25" s="64">
        <f>+F63/$I$11</f>
        <v>205.16666666666666</v>
      </c>
      <c r="G25" s="64">
        <f t="shared" ref="G25:N25" si="13">+IF(F117&gt;0,MIN(G63/$I$11,F117),0)</f>
        <v>205.16666666666666</v>
      </c>
      <c r="H25" s="64">
        <f t="shared" si="13"/>
        <v>205.16666666666666</v>
      </c>
      <c r="I25" s="64">
        <f t="shared" si="13"/>
        <v>205.16666666666666</v>
      </c>
      <c r="J25" s="64">
        <f t="shared" si="13"/>
        <v>205.16666666666666</v>
      </c>
      <c r="K25" s="64">
        <f t="shared" si="13"/>
        <v>205.16666666666666</v>
      </c>
      <c r="L25" s="64">
        <f t="shared" si="13"/>
        <v>0</v>
      </c>
      <c r="M25" s="64">
        <f t="shared" si="13"/>
        <v>0</v>
      </c>
      <c r="N25" s="64">
        <f t="shared" si="13"/>
        <v>0</v>
      </c>
      <c r="O25" s="64">
        <f t="shared" si="9"/>
        <v>0</v>
      </c>
      <c r="P25" s="64">
        <f t="shared" si="10"/>
        <v>0</v>
      </c>
      <c r="Q25" s="64">
        <f t="shared" si="11"/>
        <v>0</v>
      </c>
      <c r="R25" s="64">
        <f t="shared" ref="R25:AC25" si="14">+IF(Q117&gt;0,MIN(R63/$I$14,Q117),0)</f>
        <v>0</v>
      </c>
      <c r="S25" s="64">
        <f t="shared" si="14"/>
        <v>0</v>
      </c>
      <c r="T25" s="64">
        <f t="shared" si="14"/>
        <v>0</v>
      </c>
      <c r="U25" s="64">
        <f t="shared" si="14"/>
        <v>0</v>
      </c>
      <c r="V25" s="64">
        <f t="shared" si="14"/>
        <v>0</v>
      </c>
      <c r="W25" s="64">
        <f t="shared" si="14"/>
        <v>0</v>
      </c>
      <c r="X25" s="64">
        <f t="shared" si="14"/>
        <v>0</v>
      </c>
      <c r="Y25" s="64">
        <f t="shared" si="14"/>
        <v>0</v>
      </c>
      <c r="Z25" s="64">
        <f t="shared" si="14"/>
        <v>0</v>
      </c>
      <c r="AA25" s="64">
        <f t="shared" si="14"/>
        <v>0</v>
      </c>
      <c r="AB25" s="64">
        <f t="shared" si="14"/>
        <v>0</v>
      </c>
      <c r="AC25" s="64">
        <f t="shared" si="14"/>
        <v>0</v>
      </c>
    </row>
    <row r="26" spans="2:34" x14ac:dyDescent="0.2">
      <c r="B26" t="s">
        <v>107</v>
      </c>
      <c r="G26" s="64">
        <f>+G64/$I$11</f>
        <v>156</v>
      </c>
      <c r="H26" s="64">
        <f t="shared" ref="H26:N26" si="15">+IF(G118&gt;0,MIN(H64/$I$11,G118),0)</f>
        <v>156</v>
      </c>
      <c r="I26" s="64">
        <f t="shared" si="15"/>
        <v>156</v>
      </c>
      <c r="J26" s="64">
        <f t="shared" si="15"/>
        <v>156</v>
      </c>
      <c r="K26" s="64">
        <f t="shared" si="15"/>
        <v>156</v>
      </c>
      <c r="L26" s="64">
        <f t="shared" si="15"/>
        <v>156</v>
      </c>
      <c r="M26" s="64">
        <f t="shared" si="15"/>
        <v>0</v>
      </c>
      <c r="N26" s="64">
        <f t="shared" si="15"/>
        <v>0</v>
      </c>
      <c r="O26" s="64">
        <f t="shared" si="9"/>
        <v>0</v>
      </c>
      <c r="P26" s="64">
        <f t="shared" si="10"/>
        <v>0</v>
      </c>
      <c r="Q26" s="64">
        <f t="shared" si="11"/>
        <v>0</v>
      </c>
      <c r="R26" s="64">
        <f t="shared" ref="R26:AC26" si="16">+IF(Q118&gt;0,MIN(R64/$I$14,Q118),0)</f>
        <v>0</v>
      </c>
      <c r="S26" s="64">
        <f t="shared" si="16"/>
        <v>0</v>
      </c>
      <c r="T26" s="64">
        <f t="shared" si="16"/>
        <v>0</v>
      </c>
      <c r="U26" s="64">
        <f t="shared" si="16"/>
        <v>0</v>
      </c>
      <c r="V26" s="64">
        <f t="shared" si="16"/>
        <v>0</v>
      </c>
      <c r="W26" s="64">
        <f t="shared" si="16"/>
        <v>0</v>
      </c>
      <c r="X26" s="64">
        <f t="shared" si="16"/>
        <v>0</v>
      </c>
      <c r="Y26" s="64">
        <f t="shared" si="16"/>
        <v>0</v>
      </c>
      <c r="Z26" s="64">
        <f t="shared" si="16"/>
        <v>0</v>
      </c>
      <c r="AA26" s="64">
        <f t="shared" si="16"/>
        <v>0</v>
      </c>
      <c r="AB26" s="64">
        <f t="shared" si="16"/>
        <v>0</v>
      </c>
      <c r="AC26" s="64">
        <f t="shared" si="16"/>
        <v>0</v>
      </c>
    </row>
    <row r="27" spans="2:34" x14ac:dyDescent="0.2">
      <c r="B27" t="s">
        <v>0</v>
      </c>
      <c r="H27" s="64">
        <f>+H65/$I$11</f>
        <v>213.5</v>
      </c>
      <c r="I27" s="64">
        <f t="shared" ref="I27:N27" si="17">+IF(H119&gt;0,MIN(I65/$I$11,H119),0)</f>
        <v>213.5</v>
      </c>
      <c r="J27" s="64">
        <f t="shared" si="17"/>
        <v>213.5</v>
      </c>
      <c r="K27" s="64">
        <f t="shared" si="17"/>
        <v>213.5</v>
      </c>
      <c r="L27" s="64">
        <f t="shared" si="17"/>
        <v>213.5</v>
      </c>
      <c r="M27" s="64">
        <f t="shared" si="17"/>
        <v>213.5</v>
      </c>
      <c r="N27" s="64">
        <f t="shared" si="17"/>
        <v>0</v>
      </c>
      <c r="O27" s="64">
        <f t="shared" si="9"/>
        <v>0</v>
      </c>
      <c r="P27" s="64">
        <f t="shared" si="10"/>
        <v>0</v>
      </c>
      <c r="Q27" s="64">
        <f t="shared" si="11"/>
        <v>0</v>
      </c>
      <c r="R27" s="64">
        <f t="shared" ref="R27:AC27" si="18">+IF(Q119&gt;0,MIN(R65/$I$14,Q119),0)</f>
        <v>0</v>
      </c>
      <c r="S27" s="64">
        <f t="shared" si="18"/>
        <v>0</v>
      </c>
      <c r="T27" s="64">
        <f t="shared" si="18"/>
        <v>0</v>
      </c>
      <c r="U27" s="64">
        <f t="shared" si="18"/>
        <v>0</v>
      </c>
      <c r="V27" s="64">
        <f t="shared" si="18"/>
        <v>0</v>
      </c>
      <c r="W27" s="64">
        <f t="shared" si="18"/>
        <v>0</v>
      </c>
      <c r="X27" s="64">
        <f t="shared" si="18"/>
        <v>0</v>
      </c>
      <c r="Y27" s="64">
        <f t="shared" si="18"/>
        <v>0</v>
      </c>
      <c r="Z27" s="64">
        <f t="shared" si="18"/>
        <v>0</v>
      </c>
      <c r="AA27" s="64">
        <f t="shared" si="18"/>
        <v>0</v>
      </c>
      <c r="AB27" s="64">
        <f t="shared" si="18"/>
        <v>0</v>
      </c>
      <c r="AC27" s="64">
        <f t="shared" si="18"/>
        <v>0</v>
      </c>
    </row>
    <row r="28" spans="2:34" x14ac:dyDescent="0.2">
      <c r="B28" t="s">
        <v>1</v>
      </c>
      <c r="I28" s="64">
        <f>+I66/$I$11</f>
        <v>358.5</v>
      </c>
      <c r="J28" s="64">
        <f>+IF(I120&gt;0,MIN(J66/$I$11,I120),0)</f>
        <v>358.5</v>
      </c>
      <c r="K28" s="64">
        <f>+IF(J120&gt;0,MIN(K66/$I$11,J120),0)</f>
        <v>358.5</v>
      </c>
      <c r="L28" s="64">
        <f>+IF(K120&gt;0,MIN(L66/$I$11,K120),0)</f>
        <v>358.5</v>
      </c>
      <c r="M28" s="64">
        <f>+IF(L120&gt;0,MIN(M66/$I$11,L120),0)</f>
        <v>358.5</v>
      </c>
      <c r="N28" s="64">
        <f>+IF(M120&gt;0,MIN(N66/$I$11,M120),0)</f>
        <v>358.5</v>
      </c>
      <c r="O28" s="64">
        <f t="shared" si="9"/>
        <v>0</v>
      </c>
      <c r="P28" s="64">
        <f t="shared" si="10"/>
        <v>0</v>
      </c>
      <c r="Q28" s="64">
        <f t="shared" si="11"/>
        <v>0</v>
      </c>
      <c r="R28" s="64">
        <f t="shared" ref="R28:AC28" si="19">+IF(Q120&gt;0,MIN(R66/$I$14,Q120),0)</f>
        <v>0</v>
      </c>
      <c r="S28" s="64">
        <f t="shared" si="19"/>
        <v>0</v>
      </c>
      <c r="T28" s="64">
        <f t="shared" si="19"/>
        <v>0</v>
      </c>
      <c r="U28" s="64">
        <f t="shared" si="19"/>
        <v>0</v>
      </c>
      <c r="V28" s="64">
        <f t="shared" si="19"/>
        <v>0</v>
      </c>
      <c r="W28" s="64">
        <f t="shared" si="19"/>
        <v>0</v>
      </c>
      <c r="X28" s="64">
        <f t="shared" si="19"/>
        <v>0</v>
      </c>
      <c r="Y28" s="64">
        <f t="shared" si="19"/>
        <v>0</v>
      </c>
      <c r="Z28" s="64">
        <f t="shared" si="19"/>
        <v>0</v>
      </c>
      <c r="AA28" s="64">
        <f t="shared" si="19"/>
        <v>0</v>
      </c>
      <c r="AB28" s="64">
        <f t="shared" si="19"/>
        <v>0</v>
      </c>
      <c r="AC28" s="64">
        <f t="shared" si="19"/>
        <v>0</v>
      </c>
      <c r="AD28" s="64"/>
    </row>
    <row r="29" spans="2:34" x14ac:dyDescent="0.2">
      <c r="B29" t="s">
        <v>2</v>
      </c>
      <c r="J29" s="64">
        <f>+J67/$I$11</f>
        <v>452.66666666666669</v>
      </c>
      <c r="K29" s="64">
        <f>+IF(J121&gt;0,MIN(K67/$I$11,J121),0)</f>
        <v>452.66666666666669</v>
      </c>
      <c r="L29" s="64">
        <f>+IF(K121&gt;0,MIN(L67/$I$11,K121),0)</f>
        <v>452.66666666666669</v>
      </c>
      <c r="M29" s="64">
        <f>+IF(L121&gt;0,MIN(M67/$I$11,L121),0)</f>
        <v>452.66666666666669</v>
      </c>
      <c r="N29" s="64">
        <f>+IF(M121&gt;0,MIN(N67/$I$11,M121),0)</f>
        <v>452.66666666666669</v>
      </c>
      <c r="O29" s="64">
        <f t="shared" si="9"/>
        <v>388</v>
      </c>
      <c r="P29" s="64">
        <f t="shared" si="10"/>
        <v>64.666666666666515</v>
      </c>
      <c r="Q29" s="64">
        <f t="shared" si="11"/>
        <v>0</v>
      </c>
      <c r="R29" s="64">
        <f t="shared" ref="R29:AC29" si="20">+IF(Q121&gt;0,MIN(R67/$I$14,Q121),0)</f>
        <v>0</v>
      </c>
      <c r="S29" s="64">
        <f t="shared" si="20"/>
        <v>0</v>
      </c>
      <c r="T29" s="64">
        <f t="shared" si="20"/>
        <v>0</v>
      </c>
      <c r="U29" s="64">
        <f t="shared" si="20"/>
        <v>0</v>
      </c>
      <c r="V29" s="64">
        <f t="shared" si="20"/>
        <v>0</v>
      </c>
      <c r="W29" s="64">
        <f t="shared" si="20"/>
        <v>0</v>
      </c>
      <c r="X29" s="64">
        <f t="shared" si="20"/>
        <v>0</v>
      </c>
      <c r="Y29" s="64">
        <f t="shared" si="20"/>
        <v>0</v>
      </c>
      <c r="Z29" s="64">
        <f t="shared" si="20"/>
        <v>0</v>
      </c>
      <c r="AA29" s="64">
        <f t="shared" si="20"/>
        <v>0</v>
      </c>
      <c r="AB29" s="64">
        <f t="shared" si="20"/>
        <v>0</v>
      </c>
      <c r="AC29" s="64">
        <f t="shared" si="20"/>
        <v>0</v>
      </c>
      <c r="AD29" s="64"/>
      <c r="AE29" s="64"/>
    </row>
    <row r="30" spans="2:34" x14ac:dyDescent="0.2">
      <c r="B30" t="s">
        <v>3</v>
      </c>
      <c r="K30" s="64">
        <f>+K68/$I$11</f>
        <v>905.33333333333337</v>
      </c>
      <c r="L30" s="64">
        <f>+IF(K122&gt;0,MIN(L68/$I$11,K122),0)</f>
        <v>905.33333333333337</v>
      </c>
      <c r="M30" s="64">
        <f>+IF(L122&gt;0,MIN(M68/$I$11,L122),0)</f>
        <v>905.33333333333337</v>
      </c>
      <c r="N30" s="64">
        <f>+IF(M122&gt;0,MIN(N68/$I$11,M122),0)</f>
        <v>905.33333333333337</v>
      </c>
      <c r="O30" s="64">
        <f t="shared" si="9"/>
        <v>776</v>
      </c>
      <c r="P30" s="64">
        <f t="shared" si="10"/>
        <v>724.26666666666665</v>
      </c>
      <c r="Q30" s="64">
        <f t="shared" si="11"/>
        <v>310.39999999999964</v>
      </c>
      <c r="R30" s="64">
        <f t="shared" ref="R30:AC30" si="21">+IF(Q122&gt;0,MIN(R68/$I$14,Q122),0)</f>
        <v>0</v>
      </c>
      <c r="S30" s="64">
        <f t="shared" si="21"/>
        <v>0</v>
      </c>
      <c r="T30" s="64">
        <f t="shared" si="21"/>
        <v>0</v>
      </c>
      <c r="U30" s="64">
        <f t="shared" si="21"/>
        <v>0</v>
      </c>
      <c r="V30" s="64">
        <f t="shared" si="21"/>
        <v>0</v>
      </c>
      <c r="W30" s="64">
        <f t="shared" si="21"/>
        <v>0</v>
      </c>
      <c r="X30" s="64">
        <f t="shared" si="21"/>
        <v>0</v>
      </c>
      <c r="Y30" s="64">
        <f t="shared" si="21"/>
        <v>0</v>
      </c>
      <c r="Z30" s="64">
        <f t="shared" si="21"/>
        <v>0</v>
      </c>
      <c r="AA30" s="64">
        <f t="shared" si="21"/>
        <v>0</v>
      </c>
      <c r="AB30" s="64">
        <f t="shared" si="21"/>
        <v>0</v>
      </c>
      <c r="AC30" s="64">
        <f t="shared" si="21"/>
        <v>0</v>
      </c>
      <c r="AD30" s="64"/>
      <c r="AE30" s="64"/>
      <c r="AF30" s="64"/>
    </row>
    <row r="31" spans="2:34" x14ac:dyDescent="0.2">
      <c r="B31" t="s">
        <v>4</v>
      </c>
      <c r="L31" s="64">
        <f>+L69/$I$11</f>
        <v>1500</v>
      </c>
      <c r="M31" s="64">
        <f>+IF(L123&gt;0,MIN(M69/$I$11,L123),0)</f>
        <v>1500</v>
      </c>
      <c r="N31" s="64">
        <f>+IF(M123&gt;0,MIN(N69/$I$11,M123),0)</f>
        <v>1500</v>
      </c>
      <c r="O31" s="64">
        <f t="shared" si="9"/>
        <v>1285.7142857142858</v>
      </c>
      <c r="P31" s="64">
        <f t="shared" si="10"/>
        <v>1200</v>
      </c>
      <c r="Q31" s="64">
        <f t="shared" si="11"/>
        <v>1125</v>
      </c>
      <c r="R31" s="64">
        <f t="shared" ref="R31:AC31" si="22">+IF(Q123&gt;0,MIN(R69/$I$14,Q123),0)</f>
        <v>889.28571428571377</v>
      </c>
      <c r="S31" s="64">
        <f t="shared" si="22"/>
        <v>0</v>
      </c>
      <c r="T31" s="64">
        <f t="shared" si="22"/>
        <v>0</v>
      </c>
      <c r="U31" s="64">
        <f t="shared" si="22"/>
        <v>0</v>
      </c>
      <c r="V31" s="64">
        <f t="shared" si="22"/>
        <v>0</v>
      </c>
      <c r="W31" s="64">
        <f t="shared" si="22"/>
        <v>0</v>
      </c>
      <c r="X31" s="64">
        <f t="shared" si="22"/>
        <v>0</v>
      </c>
      <c r="Y31" s="64">
        <f t="shared" si="22"/>
        <v>0</v>
      </c>
      <c r="Z31" s="64">
        <f t="shared" si="22"/>
        <v>0</v>
      </c>
      <c r="AA31" s="64">
        <f t="shared" si="22"/>
        <v>0</v>
      </c>
      <c r="AB31" s="64">
        <f t="shared" si="22"/>
        <v>0</v>
      </c>
      <c r="AC31" s="64">
        <f t="shared" si="22"/>
        <v>0</v>
      </c>
      <c r="AD31" s="64"/>
      <c r="AE31" s="64"/>
      <c r="AF31" s="64"/>
      <c r="AG31" s="64"/>
    </row>
    <row r="32" spans="2:34" x14ac:dyDescent="0.2">
      <c r="B32" t="s">
        <v>5</v>
      </c>
      <c r="M32" s="64">
        <f>+M70/$I$11</f>
        <v>1923.6666666666667</v>
      </c>
      <c r="N32" s="64">
        <f>+IF(M124&gt;0,MIN(N70/$I$11,M124),0)</f>
        <v>1923.6666666666667</v>
      </c>
      <c r="O32" s="64">
        <f t="shared" si="9"/>
        <v>1648.8571428571429</v>
      </c>
      <c r="P32" s="64">
        <f t="shared" si="10"/>
        <v>1538.9333333333334</v>
      </c>
      <c r="Q32" s="64">
        <f t="shared" si="11"/>
        <v>1442.75</v>
      </c>
      <c r="R32" s="64">
        <f t="shared" ref="R32:AC32" si="23">+IF(Q124&gt;0,MIN(R70/$I$14,Q124),0)</f>
        <v>1442.75</v>
      </c>
      <c r="S32" s="64">
        <f t="shared" si="23"/>
        <v>1442.75</v>
      </c>
      <c r="T32" s="64">
        <f t="shared" si="23"/>
        <v>178.62619047619046</v>
      </c>
      <c r="U32" s="64">
        <f t="shared" si="23"/>
        <v>0</v>
      </c>
      <c r="V32" s="64">
        <f t="shared" si="23"/>
        <v>0</v>
      </c>
      <c r="W32" s="64">
        <f t="shared" si="23"/>
        <v>0</v>
      </c>
      <c r="X32" s="64">
        <f t="shared" si="23"/>
        <v>0</v>
      </c>
      <c r="Y32" s="64">
        <f t="shared" si="23"/>
        <v>0</v>
      </c>
      <c r="Z32" s="64">
        <f t="shared" si="23"/>
        <v>0</v>
      </c>
      <c r="AA32" s="64">
        <f t="shared" si="23"/>
        <v>0</v>
      </c>
      <c r="AB32" s="64">
        <f t="shared" si="23"/>
        <v>0</v>
      </c>
      <c r="AC32" s="64">
        <f t="shared" si="23"/>
        <v>0</v>
      </c>
      <c r="AD32" s="64"/>
      <c r="AE32" s="64"/>
      <c r="AF32" s="64"/>
      <c r="AG32" s="64"/>
      <c r="AH32" s="64"/>
    </row>
    <row r="33" spans="2:40" x14ac:dyDescent="0.2">
      <c r="B33" t="s">
        <v>6</v>
      </c>
      <c r="N33" s="64">
        <f>+N71/$I$11</f>
        <v>2312.6666666666665</v>
      </c>
      <c r="O33" s="64">
        <f t="shared" si="9"/>
        <v>1982.2857142857142</v>
      </c>
      <c r="P33" s="64">
        <f t="shared" si="10"/>
        <v>1850.1333333333334</v>
      </c>
      <c r="Q33" s="64">
        <f t="shared" si="11"/>
        <v>1734.5</v>
      </c>
      <c r="R33" s="64">
        <f t="shared" ref="R33:AC33" si="24">+IF(Q125&gt;0,MIN(R71/$I$14,Q125),0)</f>
        <v>1734.5</v>
      </c>
      <c r="S33" s="64">
        <f t="shared" si="24"/>
        <v>1734.5</v>
      </c>
      <c r="T33" s="64">
        <f t="shared" si="24"/>
        <v>1734.5</v>
      </c>
      <c r="U33" s="64">
        <f t="shared" si="24"/>
        <v>792.91428571428696</v>
      </c>
      <c r="V33" s="64">
        <f t="shared" si="24"/>
        <v>0</v>
      </c>
      <c r="W33" s="64">
        <f t="shared" si="24"/>
        <v>0</v>
      </c>
      <c r="X33" s="64">
        <f t="shared" si="24"/>
        <v>0</v>
      </c>
      <c r="Y33" s="64">
        <f t="shared" si="24"/>
        <v>0</v>
      </c>
      <c r="Z33" s="64">
        <f t="shared" si="24"/>
        <v>0</v>
      </c>
      <c r="AA33" s="64">
        <f t="shared" si="24"/>
        <v>0</v>
      </c>
      <c r="AB33" s="64">
        <f t="shared" si="24"/>
        <v>0</v>
      </c>
      <c r="AC33" s="64">
        <f t="shared" si="24"/>
        <v>0</v>
      </c>
      <c r="AD33" s="64"/>
      <c r="AE33" s="64"/>
      <c r="AF33" s="64"/>
      <c r="AG33" s="64"/>
      <c r="AH33" s="64"/>
      <c r="AI33" s="64"/>
    </row>
    <row r="34" spans="2:40" x14ac:dyDescent="0.2">
      <c r="B34" t="s">
        <v>321</v>
      </c>
      <c r="O34" s="64">
        <f>+O72/$I$12</f>
        <v>1919.8571428571429</v>
      </c>
      <c r="P34" s="64">
        <f t="shared" si="10"/>
        <v>1791.8666666666666</v>
      </c>
      <c r="Q34" s="64">
        <f t="shared" si="11"/>
        <v>1679.875</v>
      </c>
      <c r="R34" s="64">
        <f t="shared" ref="R34:AC34" si="25">+IF(Q126&gt;0,MIN(R72/$I$14,Q126),0)</f>
        <v>1679.875</v>
      </c>
      <c r="S34" s="64">
        <f t="shared" si="25"/>
        <v>1679.875</v>
      </c>
      <c r="T34" s="64">
        <f t="shared" si="25"/>
        <v>1679.875</v>
      </c>
      <c r="U34" s="64">
        <f t="shared" si="25"/>
        <v>1679.875</v>
      </c>
      <c r="V34" s="64">
        <f t="shared" si="25"/>
        <v>1327.9011904761901</v>
      </c>
      <c r="W34" s="64">
        <f t="shared" si="25"/>
        <v>0</v>
      </c>
      <c r="X34" s="64">
        <f t="shared" si="25"/>
        <v>0</v>
      </c>
      <c r="Y34" s="64">
        <f t="shared" si="25"/>
        <v>0</v>
      </c>
      <c r="Z34" s="64">
        <f t="shared" si="25"/>
        <v>0</v>
      </c>
      <c r="AA34" s="64">
        <f t="shared" si="25"/>
        <v>0</v>
      </c>
      <c r="AB34" s="64">
        <f t="shared" si="25"/>
        <v>0</v>
      </c>
      <c r="AC34" s="64">
        <f t="shared" si="25"/>
        <v>0</v>
      </c>
      <c r="AD34" s="64"/>
      <c r="AE34" s="64"/>
      <c r="AF34" s="64"/>
      <c r="AG34" s="64"/>
      <c r="AH34" s="64"/>
      <c r="AI34" s="64"/>
      <c r="AJ34" s="64"/>
    </row>
    <row r="35" spans="2:40" x14ac:dyDescent="0.2">
      <c r="B35" t="s">
        <v>306</v>
      </c>
      <c r="P35" s="64">
        <f>+P73/$I$13</f>
        <v>2165.1999999999998</v>
      </c>
      <c r="Q35" s="64">
        <f t="shared" si="11"/>
        <v>2029.875</v>
      </c>
      <c r="R35" s="64">
        <f t="shared" ref="R35:AC35" si="26">+IF(Q127&gt;0,MIN(R73/$I$14,Q127),0)</f>
        <v>2029.875</v>
      </c>
      <c r="S35" s="64">
        <f t="shared" si="26"/>
        <v>2029.875</v>
      </c>
      <c r="T35" s="64">
        <f t="shared" si="26"/>
        <v>2029.875</v>
      </c>
      <c r="U35" s="64">
        <f t="shared" si="26"/>
        <v>2029.875</v>
      </c>
      <c r="V35" s="64">
        <f t="shared" si="26"/>
        <v>2029.875</v>
      </c>
      <c r="W35" s="64">
        <f t="shared" si="26"/>
        <v>1894.5499999999993</v>
      </c>
      <c r="X35" s="64">
        <f t="shared" si="26"/>
        <v>0</v>
      </c>
      <c r="Y35" s="64">
        <f t="shared" si="26"/>
        <v>0</v>
      </c>
      <c r="Z35" s="64">
        <f t="shared" si="26"/>
        <v>0</v>
      </c>
      <c r="AA35" s="64">
        <f t="shared" si="26"/>
        <v>0</v>
      </c>
      <c r="AB35" s="64">
        <f t="shared" si="26"/>
        <v>0</v>
      </c>
      <c r="AC35" s="64">
        <f t="shared" si="26"/>
        <v>0</v>
      </c>
      <c r="AD35" s="64"/>
      <c r="AE35" s="64"/>
      <c r="AF35" s="64"/>
      <c r="AG35" s="64"/>
      <c r="AH35" s="64"/>
      <c r="AI35" s="64"/>
      <c r="AJ35" s="64"/>
      <c r="AK35" s="64"/>
    </row>
    <row r="36" spans="2:40" x14ac:dyDescent="0.2">
      <c r="B36" t="s">
        <v>357</v>
      </c>
      <c r="Q36" s="64">
        <f>+Q74/$I$14</f>
        <v>3251.375</v>
      </c>
      <c r="R36" s="64">
        <f t="shared" ref="R36:AC36" si="27">+IF(Q128&gt;0,MIN(R74/$I$14,Q128),0)</f>
        <v>3251.375</v>
      </c>
      <c r="S36" s="64">
        <f t="shared" si="27"/>
        <v>3251.375</v>
      </c>
      <c r="T36" s="64">
        <f t="shared" si="27"/>
        <v>3251.375</v>
      </c>
      <c r="U36" s="64">
        <f t="shared" si="27"/>
        <v>3251.375</v>
      </c>
      <c r="V36" s="64">
        <f t="shared" si="27"/>
        <v>3251.375</v>
      </c>
      <c r="W36" s="64">
        <f t="shared" si="27"/>
        <v>3251.375</v>
      </c>
      <c r="X36" s="64">
        <f t="shared" si="27"/>
        <v>3251.375</v>
      </c>
      <c r="Y36" s="64">
        <f t="shared" si="27"/>
        <v>0</v>
      </c>
      <c r="Z36" s="64">
        <f t="shared" si="27"/>
        <v>0</v>
      </c>
      <c r="AA36" s="64">
        <f t="shared" si="27"/>
        <v>0</v>
      </c>
      <c r="AB36" s="64">
        <f t="shared" si="27"/>
        <v>0</v>
      </c>
      <c r="AC36" s="64">
        <f t="shared" si="27"/>
        <v>0</v>
      </c>
      <c r="AD36" s="64"/>
      <c r="AE36" s="64"/>
      <c r="AF36" s="64"/>
      <c r="AG36" s="64"/>
      <c r="AH36" s="64"/>
      <c r="AI36" s="64"/>
      <c r="AJ36" s="64"/>
      <c r="AK36" s="64"/>
      <c r="AL36" s="64"/>
    </row>
    <row r="37" spans="2:40" x14ac:dyDescent="0.2">
      <c r="B37" t="s">
        <v>7</v>
      </c>
      <c r="R37" s="64">
        <f>+R75/$I$14</f>
        <v>4272.1290894047615</v>
      </c>
      <c r="S37" s="64">
        <f t="shared" ref="S37:AC37" si="28">+IF(R129&gt;0,MIN(S75/$I$14,R129),0)</f>
        <v>4272.1290894047615</v>
      </c>
      <c r="T37" s="64">
        <f t="shared" si="28"/>
        <v>4272.1290894047615</v>
      </c>
      <c r="U37" s="64">
        <f t="shared" si="28"/>
        <v>4272.1290894047615</v>
      </c>
      <c r="V37" s="64">
        <f t="shared" si="28"/>
        <v>4272.1290894047615</v>
      </c>
      <c r="W37" s="64">
        <f t="shared" si="28"/>
        <v>4272.1290894047615</v>
      </c>
      <c r="X37" s="64">
        <f t="shared" si="28"/>
        <v>4272.1290894047615</v>
      </c>
      <c r="Y37" s="64">
        <f t="shared" si="28"/>
        <v>4272.1290894047561</v>
      </c>
      <c r="Z37" s="64">
        <f t="shared" si="28"/>
        <v>0</v>
      </c>
      <c r="AA37" s="64">
        <f t="shared" si="28"/>
        <v>0</v>
      </c>
      <c r="AB37" s="64">
        <f t="shared" si="28"/>
        <v>0</v>
      </c>
      <c r="AC37" s="64">
        <f t="shared" si="28"/>
        <v>0</v>
      </c>
      <c r="AD37" s="64"/>
      <c r="AE37" s="64"/>
      <c r="AF37" s="64"/>
      <c r="AG37" s="64"/>
      <c r="AH37" s="64"/>
      <c r="AI37" s="64"/>
      <c r="AJ37" s="64"/>
      <c r="AK37" s="64"/>
      <c r="AL37" s="64"/>
      <c r="AM37" s="64"/>
    </row>
    <row r="38" spans="2:40" x14ac:dyDescent="0.2">
      <c r="B38" t="s">
        <v>8</v>
      </c>
      <c r="S38" s="64">
        <f>+S76/$I$14</f>
        <v>4877.9926288986244</v>
      </c>
      <c r="T38" s="64">
        <f t="shared" ref="T38:AC38" si="29">+IF(S130&gt;0,MIN(T76/$I$14,S130),0)</f>
        <v>4877.9926288986244</v>
      </c>
      <c r="U38" s="64">
        <f t="shared" si="29"/>
        <v>4877.9926288986244</v>
      </c>
      <c r="V38" s="64">
        <f t="shared" si="29"/>
        <v>4877.9926288986244</v>
      </c>
      <c r="W38" s="64">
        <f t="shared" si="29"/>
        <v>4877.9926288986244</v>
      </c>
      <c r="X38" s="64">
        <f t="shared" si="29"/>
        <v>4877.9926288986244</v>
      </c>
      <c r="Y38" s="64">
        <f t="shared" si="29"/>
        <v>4877.9926288986244</v>
      </c>
      <c r="Z38" s="64">
        <f t="shared" si="29"/>
        <v>4877.9926288986244</v>
      </c>
      <c r="AA38" s="64">
        <f t="shared" si="29"/>
        <v>0</v>
      </c>
      <c r="AB38" s="64">
        <f t="shared" si="29"/>
        <v>0</v>
      </c>
      <c r="AC38" s="64">
        <f t="shared" si="29"/>
        <v>0</v>
      </c>
      <c r="AD38" s="64"/>
      <c r="AE38" s="64"/>
      <c r="AF38" s="64"/>
      <c r="AG38" s="64"/>
      <c r="AH38" s="64"/>
      <c r="AI38" s="64"/>
      <c r="AJ38" s="64"/>
      <c r="AK38" s="64"/>
      <c r="AL38" s="64"/>
      <c r="AM38" s="64"/>
      <c r="AN38" s="64"/>
    </row>
    <row r="39" spans="2:40" x14ac:dyDescent="0.2">
      <c r="B39" t="s">
        <v>9</v>
      </c>
      <c r="S39" s="64"/>
      <c r="T39" s="64">
        <f>+T77/$I$14</f>
        <v>4920.6592174162843</v>
      </c>
      <c r="U39" s="64">
        <f t="shared" ref="U39:AC39" si="30">+IF(T131&gt;0,MIN(U77/$I$14,T131),0)</f>
        <v>4920.6592174162843</v>
      </c>
      <c r="V39" s="64">
        <f t="shared" si="30"/>
        <v>4920.6592174162843</v>
      </c>
      <c r="W39" s="64">
        <f t="shared" si="30"/>
        <v>4920.6592174162843</v>
      </c>
      <c r="X39" s="64">
        <f t="shared" si="30"/>
        <v>4920.6592174162843</v>
      </c>
      <c r="Y39" s="64">
        <f t="shared" si="30"/>
        <v>4920.6592174162843</v>
      </c>
      <c r="Z39" s="64">
        <f t="shared" si="30"/>
        <v>4920.6592174162843</v>
      </c>
      <c r="AA39" s="64">
        <f t="shared" si="30"/>
        <v>4920.6592174162843</v>
      </c>
      <c r="AB39" s="64">
        <f t="shared" si="30"/>
        <v>0</v>
      </c>
      <c r="AC39" s="64">
        <f t="shared" si="30"/>
        <v>0</v>
      </c>
      <c r="AD39" s="64"/>
      <c r="AE39" s="64"/>
      <c r="AF39" s="64"/>
      <c r="AG39" s="64"/>
      <c r="AH39" s="64"/>
      <c r="AI39" s="64"/>
      <c r="AJ39" s="64"/>
      <c r="AK39" s="64"/>
      <c r="AL39" s="64"/>
      <c r="AM39" s="64"/>
      <c r="AN39" s="64"/>
    </row>
    <row r="40" spans="2:40" x14ac:dyDescent="0.2">
      <c r="B40" t="s">
        <v>10</v>
      </c>
      <c r="S40" s="64"/>
      <c r="T40" s="64"/>
      <c r="U40" s="64">
        <f>+U78/$I$14</f>
        <v>5339.9426506981936</v>
      </c>
      <c r="V40" s="64">
        <f t="shared" ref="V40:AC40" si="31">+IF(U132&gt;0,MIN(V78/$I$14,U132),0)</f>
        <v>5339.9426506981936</v>
      </c>
      <c r="W40" s="64">
        <f t="shared" si="31"/>
        <v>5339.9426506981936</v>
      </c>
      <c r="X40" s="64">
        <f t="shared" si="31"/>
        <v>5339.9426506981936</v>
      </c>
      <c r="Y40" s="64">
        <f t="shared" si="31"/>
        <v>5339.9426506981936</v>
      </c>
      <c r="Z40" s="64">
        <f t="shared" si="31"/>
        <v>5339.9426506981936</v>
      </c>
      <c r="AA40" s="64">
        <f t="shared" si="31"/>
        <v>5339.9426506981936</v>
      </c>
      <c r="AB40" s="64">
        <f t="shared" si="31"/>
        <v>5339.9426506981908</v>
      </c>
      <c r="AC40" s="64">
        <f t="shared" si="31"/>
        <v>0</v>
      </c>
      <c r="AD40" s="64"/>
      <c r="AE40" s="64"/>
      <c r="AF40" s="64"/>
      <c r="AG40" s="64"/>
      <c r="AH40" s="64"/>
      <c r="AI40" s="64"/>
      <c r="AJ40" s="64"/>
      <c r="AK40" s="64"/>
      <c r="AL40" s="64"/>
      <c r="AM40" s="64"/>
      <c r="AN40" s="64"/>
    </row>
    <row r="41" spans="2:40" x14ac:dyDescent="0.2">
      <c r="B41" t="s">
        <v>11</v>
      </c>
      <c r="S41" s="64"/>
      <c r="T41" s="64"/>
      <c r="U41" s="64"/>
      <c r="V41" s="64">
        <f>+V79/$I$14</f>
        <v>6013.8715656578834</v>
      </c>
      <c r="W41" s="64">
        <f t="shared" ref="W41:AC41" si="32">+IF(V133&gt;0,MIN(W79/$I$14,V133),0)</f>
        <v>6013.8715656578834</v>
      </c>
      <c r="X41" s="64">
        <f t="shared" si="32"/>
        <v>6013.8715656578834</v>
      </c>
      <c r="Y41" s="64">
        <f t="shared" si="32"/>
        <v>6013.8715656578834</v>
      </c>
      <c r="Z41" s="64">
        <f t="shared" si="32"/>
        <v>6013.8715656578834</v>
      </c>
      <c r="AA41" s="64">
        <f t="shared" si="32"/>
        <v>6013.8715656578834</v>
      </c>
      <c r="AB41" s="64">
        <f t="shared" si="32"/>
        <v>6013.8715656578834</v>
      </c>
      <c r="AC41" s="64">
        <f t="shared" si="32"/>
        <v>6013.8715656578788</v>
      </c>
      <c r="AD41" s="64"/>
      <c r="AE41" s="64"/>
      <c r="AF41" s="64"/>
      <c r="AG41" s="64"/>
      <c r="AH41" s="64"/>
      <c r="AI41" s="64"/>
      <c r="AJ41" s="64"/>
      <c r="AK41" s="64"/>
      <c r="AL41" s="64"/>
      <c r="AM41" s="64"/>
      <c r="AN41" s="64"/>
    </row>
    <row r="42" spans="2:40" x14ac:dyDescent="0.2">
      <c r="B42" t="s">
        <v>12</v>
      </c>
      <c r="S42" s="64"/>
      <c r="T42" s="64"/>
      <c r="U42" s="64"/>
      <c r="V42" s="64"/>
      <c r="W42" s="64">
        <f>+W80/$I$14</f>
        <v>6710.1694966191617</v>
      </c>
      <c r="X42" s="64">
        <f t="shared" ref="X42:AC42" si="33">+IF(W134&gt;0,MIN(X80/$I$14,W134),0)</f>
        <v>6710.1694966191617</v>
      </c>
      <c r="Y42" s="64">
        <f t="shared" si="33"/>
        <v>6710.1694966191617</v>
      </c>
      <c r="Z42" s="64">
        <f t="shared" si="33"/>
        <v>6710.1694966191617</v>
      </c>
      <c r="AA42" s="64">
        <f t="shared" si="33"/>
        <v>6710.1694966191617</v>
      </c>
      <c r="AB42" s="64">
        <f t="shared" si="33"/>
        <v>6710.1694966191617</v>
      </c>
      <c r="AC42" s="64">
        <f t="shared" si="33"/>
        <v>6710.1694966191617</v>
      </c>
      <c r="AD42" s="64"/>
      <c r="AE42" s="64"/>
      <c r="AF42" s="64"/>
      <c r="AG42" s="64"/>
      <c r="AH42" s="64"/>
      <c r="AI42" s="64"/>
      <c r="AJ42" s="64"/>
      <c r="AK42" s="64"/>
      <c r="AL42" s="64"/>
      <c r="AM42" s="64"/>
      <c r="AN42" s="64"/>
    </row>
    <row r="43" spans="2:40" x14ac:dyDescent="0.2">
      <c r="B43" t="s">
        <v>13</v>
      </c>
      <c r="S43" s="64"/>
      <c r="T43" s="64"/>
      <c r="U43" s="64"/>
      <c r="V43" s="64"/>
      <c r="W43" s="64"/>
      <c r="X43" s="64">
        <f>+X81/$I$14</f>
        <v>7417.9816961947336</v>
      </c>
      <c r="Y43" s="64">
        <f>+IF(X135&gt;0,MIN(Y81/$I$14,X135),0)</f>
        <v>7417.9816961947336</v>
      </c>
      <c r="Z43" s="64">
        <f>+IF(Y135&gt;0,MIN(Z81/$I$14,Y135),0)</f>
        <v>7417.9816961947336</v>
      </c>
      <c r="AA43" s="64">
        <f>+IF(Z135&gt;0,MIN(AA81/$I$14,Z135),0)</f>
        <v>7417.9816961947336</v>
      </c>
      <c r="AB43" s="64">
        <f>+IF(AA135&gt;0,MIN(AB81/$I$14,AA135),0)</f>
        <v>7417.9816961947336</v>
      </c>
      <c r="AC43" s="64">
        <f>+IF(AB135&gt;0,MIN(AC81/$I$14,AB135),0)</f>
        <v>7417.9816961947336</v>
      </c>
      <c r="AD43" s="64"/>
      <c r="AE43" s="64"/>
      <c r="AF43" s="64"/>
      <c r="AG43" s="64"/>
      <c r="AH43" s="64"/>
      <c r="AI43" s="64"/>
      <c r="AJ43" s="64"/>
      <c r="AK43" s="64"/>
      <c r="AL43" s="64"/>
      <c r="AM43" s="64"/>
      <c r="AN43" s="64"/>
    </row>
    <row r="44" spans="2:40" x14ac:dyDescent="0.2">
      <c r="B44" t="s">
        <v>14</v>
      </c>
      <c r="S44" s="64"/>
      <c r="T44" s="64"/>
      <c r="U44" s="64"/>
      <c r="V44" s="64"/>
      <c r="W44" s="64"/>
      <c r="X44" s="64"/>
      <c r="Y44" s="64">
        <f>+Y82/$I$14</f>
        <v>8631.8183408354143</v>
      </c>
      <c r="Z44" s="64">
        <f>+IF(Y136&gt;0,MIN(Z82/$I$14,Y136),0)</f>
        <v>8631.8183408354143</v>
      </c>
      <c r="AA44" s="64">
        <f>+IF(Z136&gt;0,MIN(AA82/$I$14,Z136),0)</f>
        <v>8631.8183408354143</v>
      </c>
      <c r="AB44" s="64">
        <f>+IF(AA136&gt;0,MIN(AB82/$I$14,AA136),0)</f>
        <v>8631.8183408354143</v>
      </c>
      <c r="AC44" s="64">
        <f>+IF(AB136&gt;0,MIN(AC82/$I$14,AB136),0)</f>
        <v>8631.8183408354143</v>
      </c>
      <c r="AD44" s="64"/>
      <c r="AE44" s="64"/>
      <c r="AF44" s="64"/>
      <c r="AG44" s="64"/>
      <c r="AH44" s="64"/>
      <c r="AI44" s="64"/>
      <c r="AJ44" s="64"/>
      <c r="AK44" s="64"/>
      <c r="AL44" s="64"/>
      <c r="AM44" s="64"/>
      <c r="AN44" s="64"/>
    </row>
    <row r="45" spans="2:40" x14ac:dyDescent="0.2">
      <c r="B45" t="s">
        <v>15</v>
      </c>
      <c r="S45" s="64"/>
      <c r="T45" s="64"/>
      <c r="U45" s="64"/>
      <c r="V45" s="64"/>
      <c r="W45" s="64"/>
      <c r="X45" s="64"/>
      <c r="Y45" s="64"/>
      <c r="Z45" s="64">
        <f>+Z83/$I$14</f>
        <v>9987.7034542056263</v>
      </c>
      <c r="AA45" s="64">
        <f>+IF(Z137&gt;0,MIN(AA83/$I$14,Z137),0)</f>
        <v>9987.7034542056263</v>
      </c>
      <c r="AB45" s="64">
        <f>+IF(AA137&gt;0,MIN(AB83/$I$14,AA137),0)</f>
        <v>9987.7034542056263</v>
      </c>
      <c r="AC45" s="64">
        <f>+IF(AB137&gt;0,MIN(AC83/$I$14,AB137),0)</f>
        <v>9987.7034542056263</v>
      </c>
      <c r="AD45" s="64"/>
      <c r="AE45" s="64"/>
      <c r="AF45" s="64"/>
      <c r="AG45" s="64"/>
      <c r="AH45" s="64"/>
      <c r="AI45" s="64"/>
      <c r="AJ45" s="64"/>
      <c r="AK45" s="64"/>
      <c r="AL45" s="64"/>
      <c r="AM45" s="64"/>
      <c r="AN45" s="64"/>
    </row>
    <row r="46" spans="2:40" x14ac:dyDescent="0.2">
      <c r="B46" t="s">
        <v>325</v>
      </c>
      <c r="S46" s="64"/>
      <c r="T46" s="64"/>
      <c r="U46" s="64"/>
      <c r="V46" s="64"/>
      <c r="W46" s="64"/>
      <c r="X46" s="64"/>
      <c r="Y46" s="64"/>
      <c r="Z46" s="64"/>
      <c r="AA46" s="64">
        <f>+AA84/$I$14</f>
        <v>11493.869664156697</v>
      </c>
      <c r="AB46" s="64">
        <f>+IF(AA138&gt;0,MIN(AB84/$I$14,AA138),0)</f>
        <v>11493.869664156697</v>
      </c>
      <c r="AC46" s="64">
        <f>+IF(AB138&gt;0,MIN(AC84/$I$14,AB138),0)</f>
        <v>11493.869664156697</v>
      </c>
      <c r="AD46" s="64"/>
      <c r="AE46" s="64"/>
      <c r="AF46" s="64"/>
      <c r="AG46" s="64"/>
      <c r="AH46" s="64"/>
      <c r="AI46" s="64"/>
      <c r="AJ46" s="64"/>
      <c r="AK46" s="64"/>
      <c r="AL46" s="64"/>
      <c r="AM46" s="64"/>
      <c r="AN46" s="64"/>
    </row>
    <row r="47" spans="2:40" x14ac:dyDescent="0.2">
      <c r="B47" t="s">
        <v>346</v>
      </c>
      <c r="S47" s="64"/>
      <c r="T47" s="64"/>
      <c r="U47" s="64"/>
      <c r="V47" s="64"/>
      <c r="W47" s="64"/>
      <c r="X47" s="64"/>
      <c r="Y47" s="64"/>
      <c r="Z47" s="64"/>
      <c r="AA47" s="64"/>
      <c r="AB47" s="64">
        <f>+AB85/$I$14</f>
        <v>13157.75240850971</v>
      </c>
      <c r="AC47" s="64">
        <f>+AC85/$I$14</f>
        <v>13157.75240850971</v>
      </c>
      <c r="AD47" s="64"/>
      <c r="AE47" s="64"/>
      <c r="AF47" s="64"/>
      <c r="AG47" s="64"/>
      <c r="AH47" s="64"/>
      <c r="AI47" s="64"/>
      <c r="AJ47" s="64"/>
      <c r="AK47" s="64"/>
      <c r="AL47" s="64"/>
      <c r="AM47" s="64"/>
      <c r="AN47" s="64"/>
    </row>
    <row r="48" spans="2:40" x14ac:dyDescent="0.2">
      <c r="B48" t="s">
        <v>426</v>
      </c>
      <c r="S48" s="64"/>
      <c r="T48" s="64"/>
      <c r="U48" s="64"/>
      <c r="V48" s="64"/>
      <c r="W48" s="64"/>
      <c r="X48" s="64"/>
      <c r="Y48" s="64"/>
      <c r="Z48" s="64"/>
      <c r="AA48" s="64"/>
      <c r="AB48" s="64"/>
      <c r="AC48" s="64">
        <f>+AC86/$I$14</f>
        <v>14985.757963542996</v>
      </c>
      <c r="AD48" s="64"/>
      <c r="AE48" s="64"/>
      <c r="AF48" s="64"/>
      <c r="AG48" s="64"/>
      <c r="AH48" s="64"/>
      <c r="AI48" s="64"/>
      <c r="AJ48" s="64"/>
      <c r="AK48" s="64"/>
      <c r="AL48" s="64"/>
      <c r="AM48" s="64"/>
      <c r="AN48" s="64"/>
    </row>
    <row r="49" spans="2:40" s="44" customFormat="1" x14ac:dyDescent="0.2">
      <c r="B49" s="110" t="s">
        <v>381</v>
      </c>
      <c r="D49" s="111"/>
      <c r="E49" s="111">
        <f>+SUM(E24:E47)</f>
        <v>162</v>
      </c>
      <c r="F49" s="111">
        <f>+SUM(F24:F47)</f>
        <v>367.16666666666663</v>
      </c>
      <c r="G49" s="111">
        <f>+SUM(G24:G48)</f>
        <v>523.16666666666663</v>
      </c>
      <c r="H49" s="111">
        <f t="shared" ref="H49:AC49" si="34">+SUM(H24:H48)</f>
        <v>736.66666666666663</v>
      </c>
      <c r="I49" s="111">
        <f t="shared" si="34"/>
        <v>1095.1666666666665</v>
      </c>
      <c r="J49" s="111">
        <f t="shared" si="34"/>
        <v>1547.8333333333333</v>
      </c>
      <c r="K49" s="111">
        <f t="shared" si="34"/>
        <v>2291.1666666666665</v>
      </c>
      <c r="L49" s="111">
        <f t="shared" si="34"/>
        <v>3586</v>
      </c>
      <c r="M49" s="111">
        <f t="shared" si="34"/>
        <v>5353.666666666667</v>
      </c>
      <c r="N49" s="111">
        <f t="shared" si="34"/>
        <v>7452.8333333333339</v>
      </c>
      <c r="O49" s="111">
        <f t="shared" si="34"/>
        <v>8000.7142857142862</v>
      </c>
      <c r="P49" s="111">
        <f t="shared" si="34"/>
        <v>9335.0666666666657</v>
      </c>
      <c r="Q49" s="111">
        <f t="shared" si="34"/>
        <v>11573.775</v>
      </c>
      <c r="R49" s="111">
        <f t="shared" si="34"/>
        <v>15299.789803690475</v>
      </c>
      <c r="S49" s="111">
        <f t="shared" si="34"/>
        <v>19288.496718303388</v>
      </c>
      <c r="T49" s="111">
        <f t="shared" si="34"/>
        <v>22945.03212619586</v>
      </c>
      <c r="U49" s="111">
        <f t="shared" si="34"/>
        <v>27164.762872132153</v>
      </c>
      <c r="V49" s="111">
        <f t="shared" si="34"/>
        <v>32033.746342551938</v>
      </c>
      <c r="W49" s="111">
        <f t="shared" si="34"/>
        <v>37280.689648694912</v>
      </c>
      <c r="X49" s="111">
        <f t="shared" si="34"/>
        <v>42804.121344889645</v>
      </c>
      <c r="Y49" s="111">
        <f t="shared" si="34"/>
        <v>48184.564685725054</v>
      </c>
      <c r="Z49" s="111">
        <f t="shared" si="34"/>
        <v>53900.139050525926</v>
      </c>
      <c r="AA49" s="111">
        <f t="shared" si="34"/>
        <v>60516.016085783995</v>
      </c>
      <c r="AB49" s="111">
        <f t="shared" si="34"/>
        <v>68753.109276877411</v>
      </c>
      <c r="AC49" s="111">
        <f t="shared" si="34"/>
        <v>78398.924589722228</v>
      </c>
      <c r="AD49" s="111"/>
      <c r="AE49" s="111"/>
      <c r="AF49" s="111"/>
      <c r="AG49" s="111"/>
      <c r="AH49" s="111"/>
      <c r="AI49" s="111"/>
      <c r="AJ49" s="111"/>
      <c r="AK49" s="111"/>
      <c r="AL49" s="111"/>
      <c r="AM49" s="111"/>
      <c r="AN49" s="111"/>
    </row>
    <row r="50" spans="2:40" s="44" customFormat="1" x14ac:dyDescent="0.2">
      <c r="B50" s="110"/>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row>
    <row r="51" spans="2:40" s="44" customFormat="1" x14ac:dyDescent="0.2">
      <c r="B51" s="62" t="s">
        <v>19</v>
      </c>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row>
    <row r="52" spans="2:40" s="44" customFormat="1" x14ac:dyDescent="0.2">
      <c r="B52" s="60" t="s">
        <v>382</v>
      </c>
      <c r="D52" s="95"/>
      <c r="E52" s="95">
        <f t="shared" ref="E52:Q52" si="35">+E165</f>
        <v>323</v>
      </c>
      <c r="F52" s="95">
        <f t="shared" si="35"/>
        <v>649</v>
      </c>
      <c r="G52" s="95">
        <f t="shared" si="35"/>
        <v>866</v>
      </c>
      <c r="H52" s="95">
        <f t="shared" si="35"/>
        <v>924</v>
      </c>
      <c r="I52" s="95">
        <f t="shared" si="35"/>
        <v>1215</v>
      </c>
      <c r="J52" s="95">
        <f t="shared" si="35"/>
        <v>1591</v>
      </c>
      <c r="K52" s="95">
        <f t="shared" si="35"/>
        <v>2333</v>
      </c>
      <c r="L52" s="95">
        <f t="shared" si="35"/>
        <v>3675</v>
      </c>
      <c r="M52" s="95">
        <f t="shared" si="35"/>
        <v>5179</v>
      </c>
      <c r="N52" s="95">
        <f t="shared" si="35"/>
        <v>6389</v>
      </c>
      <c r="O52" s="95">
        <f t="shared" si="35"/>
        <v>7560</v>
      </c>
      <c r="P52" s="95">
        <f t="shared" si="35"/>
        <v>8501</v>
      </c>
      <c r="Q52" s="95">
        <f t="shared" si="35"/>
        <v>11017</v>
      </c>
      <c r="R52" s="95"/>
      <c r="S52" s="95"/>
      <c r="T52" s="111"/>
      <c r="U52" s="111"/>
      <c r="V52" s="111"/>
      <c r="W52" s="111"/>
      <c r="X52" s="111"/>
      <c r="Y52" s="111"/>
      <c r="Z52" s="111"/>
      <c r="AA52" s="111"/>
      <c r="AB52" s="111"/>
      <c r="AC52" s="111"/>
      <c r="AD52" s="111"/>
      <c r="AE52" s="111"/>
      <c r="AF52" s="111"/>
      <c r="AG52" s="111"/>
      <c r="AH52" s="111"/>
      <c r="AI52" s="111"/>
      <c r="AJ52" s="111"/>
      <c r="AK52" s="111"/>
      <c r="AL52" s="111"/>
      <c r="AM52" s="111"/>
      <c r="AN52" s="111"/>
    </row>
    <row r="53" spans="2:40" s="44" customFormat="1" x14ac:dyDescent="0.2">
      <c r="B53" s="101" t="s">
        <v>383</v>
      </c>
      <c r="D53" s="106"/>
      <c r="E53" s="106">
        <f t="shared" ref="E53:Q53" si="36">+E52/E49-1</f>
        <v>0.99382716049382713</v>
      </c>
      <c r="F53" s="106">
        <f t="shared" si="36"/>
        <v>0.76758965047662286</v>
      </c>
      <c r="G53" s="106">
        <f t="shared" si="36"/>
        <v>0.65530423701815876</v>
      </c>
      <c r="H53" s="106">
        <f t="shared" si="36"/>
        <v>0.25429864253393664</v>
      </c>
      <c r="I53" s="106">
        <f t="shared" si="36"/>
        <v>0.10942017957692918</v>
      </c>
      <c r="J53" s="106">
        <f t="shared" si="36"/>
        <v>2.7888446215139417E-2</v>
      </c>
      <c r="K53" s="106">
        <f t="shared" si="36"/>
        <v>1.8258529133629242E-2</v>
      </c>
      <c r="L53" s="106">
        <f t="shared" si="36"/>
        <v>2.4818739542666002E-2</v>
      </c>
      <c r="M53" s="106">
        <f t="shared" si="36"/>
        <v>-3.2625614843409534E-2</v>
      </c>
      <c r="N53" s="106">
        <f t="shared" si="36"/>
        <v>-0.14274213386407864</v>
      </c>
      <c r="O53" s="106">
        <f t="shared" si="36"/>
        <v>-5.5084367467190476E-2</v>
      </c>
      <c r="P53" s="106">
        <f t="shared" si="36"/>
        <v>-8.9347692571379533E-2</v>
      </c>
      <c r="Q53" s="106">
        <f t="shared" si="36"/>
        <v>-4.8106603074623444E-2</v>
      </c>
      <c r="R53" s="106"/>
      <c r="S53" s="106"/>
      <c r="T53" s="111"/>
      <c r="U53" s="111"/>
      <c r="V53" s="111"/>
      <c r="W53" s="111"/>
      <c r="X53" s="111"/>
      <c r="Y53" s="111"/>
      <c r="Z53" s="111"/>
      <c r="AA53" s="111"/>
      <c r="AB53" s="111"/>
      <c r="AC53" s="111"/>
      <c r="AD53" s="111"/>
      <c r="AE53" s="111"/>
      <c r="AF53" s="111"/>
      <c r="AG53" s="111"/>
      <c r="AH53" s="111"/>
      <c r="AI53" s="111"/>
      <c r="AJ53" s="111"/>
      <c r="AK53" s="111"/>
      <c r="AL53" s="111"/>
      <c r="AM53" s="111"/>
      <c r="AN53" s="111"/>
    </row>
    <row r="54" spans="2:40" x14ac:dyDescent="0.2">
      <c r="B54" s="101" t="s">
        <v>384</v>
      </c>
      <c r="D54" s="95"/>
      <c r="E54" s="95">
        <f t="shared" ref="E54:Q54" si="37">+E52-E49</f>
        <v>161</v>
      </c>
      <c r="F54" s="95">
        <f t="shared" si="37"/>
        <v>281.83333333333337</v>
      </c>
      <c r="G54" s="95">
        <f t="shared" si="37"/>
        <v>342.83333333333337</v>
      </c>
      <c r="H54" s="95">
        <f t="shared" si="37"/>
        <v>187.33333333333337</v>
      </c>
      <c r="I54" s="95">
        <f t="shared" si="37"/>
        <v>119.83333333333348</v>
      </c>
      <c r="J54" s="95">
        <f t="shared" si="37"/>
        <v>43.166666666666742</v>
      </c>
      <c r="K54" s="95">
        <f t="shared" si="37"/>
        <v>41.833333333333485</v>
      </c>
      <c r="L54" s="95">
        <f t="shared" si="37"/>
        <v>89</v>
      </c>
      <c r="M54" s="95">
        <f t="shared" si="37"/>
        <v>-174.66666666666697</v>
      </c>
      <c r="N54" s="95">
        <f t="shared" si="37"/>
        <v>-1063.8333333333339</v>
      </c>
      <c r="O54" s="95">
        <f t="shared" si="37"/>
        <v>-440.71428571428623</v>
      </c>
      <c r="P54" s="95">
        <f t="shared" si="37"/>
        <v>-834.0666666666657</v>
      </c>
      <c r="Q54" s="95">
        <f t="shared" si="37"/>
        <v>-556.77499999999964</v>
      </c>
      <c r="R54" s="95"/>
      <c r="S54" s="95"/>
    </row>
    <row r="55" spans="2:40" x14ac:dyDescent="0.2">
      <c r="D55" s="95"/>
      <c r="E55" s="95"/>
      <c r="F55" s="95"/>
      <c r="G55" s="95"/>
      <c r="H55" s="95"/>
      <c r="I55" s="95"/>
      <c r="J55" s="95"/>
      <c r="K55" s="95"/>
      <c r="L55" s="95"/>
      <c r="M55" s="95"/>
      <c r="N55" s="95"/>
      <c r="O55" s="95"/>
      <c r="P55" s="95"/>
      <c r="Q55" s="95"/>
      <c r="R55" s="95"/>
      <c r="S55" s="95"/>
    </row>
    <row r="56" spans="2:40" x14ac:dyDescent="0.2">
      <c r="B56" s="54" t="s">
        <v>23</v>
      </c>
      <c r="D56" s="95"/>
      <c r="E56" s="95"/>
      <c r="F56" s="95"/>
      <c r="G56" s="95"/>
      <c r="H56" s="95"/>
      <c r="I56" s="95"/>
      <c r="J56" s="95"/>
      <c r="K56" s="95"/>
      <c r="L56" s="95"/>
      <c r="M56" s="95"/>
      <c r="N56" s="95"/>
      <c r="O56" s="95"/>
      <c r="P56" s="95"/>
      <c r="Q56" s="95"/>
      <c r="R56" s="95"/>
      <c r="S56" s="95"/>
    </row>
    <row r="57" spans="2:40" x14ac:dyDescent="0.2">
      <c r="B57" t="s">
        <v>381</v>
      </c>
      <c r="D57" s="64"/>
      <c r="E57" s="64">
        <f t="shared" ref="E57:AB57" si="38">+E49</f>
        <v>162</v>
      </c>
      <c r="F57" s="64">
        <f t="shared" si="38"/>
        <v>367.16666666666663</v>
      </c>
      <c r="G57" s="64">
        <f t="shared" si="38"/>
        <v>523.16666666666663</v>
      </c>
      <c r="H57" s="64">
        <f t="shared" si="38"/>
        <v>736.66666666666663</v>
      </c>
      <c r="I57" s="64">
        <f t="shared" si="38"/>
        <v>1095.1666666666665</v>
      </c>
      <c r="J57" s="64">
        <f t="shared" si="38"/>
        <v>1547.8333333333333</v>
      </c>
      <c r="K57" s="64">
        <f t="shared" si="38"/>
        <v>2291.1666666666665</v>
      </c>
      <c r="L57" s="64">
        <f t="shared" si="38"/>
        <v>3586</v>
      </c>
      <c r="M57" s="64">
        <f t="shared" si="38"/>
        <v>5353.666666666667</v>
      </c>
      <c r="N57" s="64">
        <f t="shared" si="38"/>
        <v>7452.8333333333339</v>
      </c>
      <c r="O57" s="64">
        <f t="shared" si="38"/>
        <v>8000.7142857142862</v>
      </c>
      <c r="P57" s="64">
        <f t="shared" si="38"/>
        <v>9335.0666666666657</v>
      </c>
      <c r="Q57" s="64">
        <f t="shared" si="38"/>
        <v>11573.775</v>
      </c>
      <c r="R57" s="64">
        <f t="shared" si="38"/>
        <v>15299.789803690475</v>
      </c>
      <c r="S57" s="64">
        <f t="shared" si="38"/>
        <v>19288.496718303388</v>
      </c>
      <c r="T57" s="64">
        <f t="shared" si="38"/>
        <v>22945.03212619586</v>
      </c>
      <c r="U57" s="64">
        <f t="shared" si="38"/>
        <v>27164.762872132153</v>
      </c>
      <c r="V57" s="64">
        <f t="shared" si="38"/>
        <v>32033.746342551938</v>
      </c>
      <c r="W57" s="64">
        <f t="shared" si="38"/>
        <v>37280.689648694912</v>
      </c>
      <c r="X57" s="64">
        <f t="shared" si="38"/>
        <v>42804.121344889645</v>
      </c>
      <c r="Y57" s="64">
        <f t="shared" si="38"/>
        <v>48184.564685725054</v>
      </c>
      <c r="Z57" s="64">
        <f t="shared" si="38"/>
        <v>53900.139050525926</v>
      </c>
      <c r="AA57" s="64">
        <f t="shared" si="38"/>
        <v>60516.016085783995</v>
      </c>
      <c r="AB57" s="64">
        <f t="shared" si="38"/>
        <v>68753.109276877411</v>
      </c>
      <c r="AC57" s="64">
        <f>+AC49</f>
        <v>78398.924589722228</v>
      </c>
    </row>
    <row r="58" spans="2:40" ht="13.5" x14ac:dyDescent="0.35">
      <c r="B58" t="s">
        <v>385</v>
      </c>
      <c r="D58" s="82"/>
      <c r="E58" s="82">
        <v>0</v>
      </c>
      <c r="F58" s="82">
        <v>0</v>
      </c>
      <c r="G58" s="82">
        <v>145</v>
      </c>
      <c r="H58" s="82">
        <v>319</v>
      </c>
      <c r="I58" s="82">
        <v>730</v>
      </c>
      <c r="J58" s="82">
        <v>751</v>
      </c>
      <c r="K58" s="82">
        <v>692</v>
      </c>
      <c r="L58" s="82">
        <v>640</v>
      </c>
      <c r="M58" s="82">
        <v>562</v>
      </c>
      <c r="N58" s="82">
        <v>473</v>
      </c>
      <c r="O58" s="82">
        <v>407</v>
      </c>
      <c r="P58" s="82">
        <v>185</v>
      </c>
      <c r="Q58" s="82">
        <v>161</v>
      </c>
      <c r="R58" s="71">
        <v>136</v>
      </c>
      <c r="S58" s="71">
        <v>97</v>
      </c>
      <c r="T58" s="71">
        <v>46</v>
      </c>
      <c r="U58" s="71">
        <v>24</v>
      </c>
      <c r="V58" s="71">
        <v>15</v>
      </c>
      <c r="W58" s="71">
        <v>10</v>
      </c>
      <c r="X58" s="71">
        <v>10</v>
      </c>
      <c r="Y58" s="71">
        <v>10</v>
      </c>
      <c r="Z58" s="71">
        <v>10</v>
      </c>
      <c r="AA58" s="71">
        <v>10</v>
      </c>
      <c r="AB58" s="71">
        <v>10</v>
      </c>
      <c r="AC58" s="71">
        <v>10</v>
      </c>
    </row>
    <row r="59" spans="2:40" s="44" customFormat="1" x14ac:dyDescent="0.2">
      <c r="B59" s="110" t="s">
        <v>386</v>
      </c>
      <c r="D59" s="111"/>
      <c r="E59" s="111">
        <f t="shared" ref="E59:AB59" si="39">SUM(E57:E58)</f>
        <v>162</v>
      </c>
      <c r="F59" s="111">
        <f t="shared" si="39"/>
        <v>367.16666666666663</v>
      </c>
      <c r="G59" s="111">
        <f t="shared" si="39"/>
        <v>668.16666666666663</v>
      </c>
      <c r="H59" s="111">
        <f t="shared" si="39"/>
        <v>1055.6666666666665</v>
      </c>
      <c r="I59" s="111">
        <f t="shared" si="39"/>
        <v>1825.1666666666665</v>
      </c>
      <c r="J59" s="111">
        <f t="shared" si="39"/>
        <v>2298.833333333333</v>
      </c>
      <c r="K59" s="111">
        <f t="shared" si="39"/>
        <v>2983.1666666666665</v>
      </c>
      <c r="L59" s="111">
        <f t="shared" si="39"/>
        <v>4226</v>
      </c>
      <c r="M59" s="111">
        <f t="shared" si="39"/>
        <v>5915.666666666667</v>
      </c>
      <c r="N59" s="111">
        <f t="shared" si="39"/>
        <v>7925.8333333333339</v>
      </c>
      <c r="O59" s="111">
        <f t="shared" si="39"/>
        <v>8407.7142857142862</v>
      </c>
      <c r="P59" s="111">
        <f t="shared" si="39"/>
        <v>9520.0666666666657</v>
      </c>
      <c r="Q59" s="111">
        <f t="shared" si="39"/>
        <v>11734.775</v>
      </c>
      <c r="R59" s="111">
        <f t="shared" si="39"/>
        <v>15435.789803690475</v>
      </c>
      <c r="S59" s="111">
        <f t="shared" si="39"/>
        <v>19385.496718303388</v>
      </c>
      <c r="T59" s="111">
        <f t="shared" si="39"/>
        <v>22991.03212619586</v>
      </c>
      <c r="U59" s="111">
        <f t="shared" si="39"/>
        <v>27188.762872132153</v>
      </c>
      <c r="V59" s="111">
        <f t="shared" si="39"/>
        <v>32048.746342551938</v>
      </c>
      <c r="W59" s="111">
        <f t="shared" si="39"/>
        <v>37290.689648694912</v>
      </c>
      <c r="X59" s="111">
        <f t="shared" si="39"/>
        <v>42814.121344889645</v>
      </c>
      <c r="Y59" s="111">
        <f t="shared" si="39"/>
        <v>48194.564685725054</v>
      </c>
      <c r="Z59" s="111">
        <f t="shared" si="39"/>
        <v>53910.139050525926</v>
      </c>
      <c r="AA59" s="111">
        <f t="shared" si="39"/>
        <v>60526.016085783995</v>
      </c>
      <c r="AB59" s="111">
        <f t="shared" si="39"/>
        <v>68763.109276877411</v>
      </c>
      <c r="AC59" s="111">
        <f>SUM(AC57:AC58)</f>
        <v>78408.924589722228</v>
      </c>
    </row>
    <row r="60" spans="2:40" hidden="1" outlineLevel="1" x14ac:dyDescent="0.2">
      <c r="B60" s="101"/>
      <c r="P60" s="64"/>
      <c r="Q60" s="64"/>
      <c r="R60" s="64"/>
    </row>
    <row r="61" spans="2:40" hidden="1" outlineLevel="1" x14ac:dyDescent="0.2">
      <c r="B61" s="54" t="s">
        <v>387</v>
      </c>
    </row>
    <row r="62" spans="2:40" hidden="1" outlineLevel="1" x14ac:dyDescent="0.2">
      <c r="B62" t="s">
        <v>371</v>
      </c>
      <c r="E62" s="64">
        <f>+E$21</f>
        <v>972</v>
      </c>
      <c r="F62" s="64">
        <f t="shared" ref="F62:V62" si="40">+E62</f>
        <v>972</v>
      </c>
      <c r="G62" s="64">
        <f t="shared" si="40"/>
        <v>972</v>
      </c>
      <c r="H62" s="64">
        <f t="shared" si="40"/>
        <v>972</v>
      </c>
      <c r="I62" s="64">
        <f t="shared" si="40"/>
        <v>972</v>
      </c>
      <c r="J62" s="64">
        <f t="shared" si="40"/>
        <v>972</v>
      </c>
      <c r="K62" s="64">
        <f t="shared" si="40"/>
        <v>972</v>
      </c>
      <c r="L62" s="64">
        <f t="shared" si="40"/>
        <v>972</v>
      </c>
      <c r="M62" s="64">
        <f t="shared" si="40"/>
        <v>972</v>
      </c>
      <c r="N62" s="64">
        <f t="shared" si="40"/>
        <v>972</v>
      </c>
      <c r="O62" s="64">
        <f t="shared" si="40"/>
        <v>972</v>
      </c>
      <c r="P62" s="64">
        <f t="shared" si="40"/>
        <v>972</v>
      </c>
      <c r="Q62" s="64">
        <f t="shared" si="40"/>
        <v>972</v>
      </c>
      <c r="R62" s="64">
        <f t="shared" si="40"/>
        <v>972</v>
      </c>
      <c r="S62" s="64">
        <f t="shared" si="40"/>
        <v>972</v>
      </c>
      <c r="T62" s="64">
        <f t="shared" si="40"/>
        <v>972</v>
      </c>
      <c r="U62" s="64">
        <f t="shared" si="40"/>
        <v>972</v>
      </c>
      <c r="V62" s="64">
        <f t="shared" si="40"/>
        <v>972</v>
      </c>
      <c r="W62" s="64">
        <f t="shared" ref="M62:AC77" si="41">+V62</f>
        <v>972</v>
      </c>
      <c r="X62" s="64">
        <f t="shared" si="41"/>
        <v>972</v>
      </c>
      <c r="Y62" s="64">
        <f t="shared" si="41"/>
        <v>972</v>
      </c>
      <c r="Z62" s="64">
        <f t="shared" si="41"/>
        <v>972</v>
      </c>
      <c r="AA62" s="64">
        <f t="shared" si="41"/>
        <v>972</v>
      </c>
      <c r="AB62" s="64">
        <f t="shared" si="41"/>
        <v>972</v>
      </c>
      <c r="AC62" s="64">
        <f t="shared" si="41"/>
        <v>972</v>
      </c>
    </row>
    <row r="63" spans="2:40" hidden="1" outlineLevel="1" x14ac:dyDescent="0.2">
      <c r="B63" t="s">
        <v>106</v>
      </c>
      <c r="F63" s="64">
        <f>+F$21</f>
        <v>1231</v>
      </c>
      <c r="G63" s="64">
        <f t="shared" ref="G63:O63" si="42">+F63</f>
        <v>1231</v>
      </c>
      <c r="H63" s="64">
        <f t="shared" si="42"/>
        <v>1231</v>
      </c>
      <c r="I63" s="64">
        <f t="shared" si="42"/>
        <v>1231</v>
      </c>
      <c r="J63" s="64">
        <f t="shared" si="42"/>
        <v>1231</v>
      </c>
      <c r="K63" s="64">
        <f t="shared" si="42"/>
        <v>1231</v>
      </c>
      <c r="L63" s="64">
        <f t="shared" si="42"/>
        <v>1231</v>
      </c>
      <c r="M63" s="64">
        <f t="shared" si="42"/>
        <v>1231</v>
      </c>
      <c r="N63" s="64">
        <f t="shared" si="42"/>
        <v>1231</v>
      </c>
      <c r="O63" s="64">
        <f t="shared" si="42"/>
        <v>1231</v>
      </c>
      <c r="P63" s="64">
        <f t="shared" si="41"/>
        <v>1231</v>
      </c>
      <c r="Q63" s="64">
        <f t="shared" si="41"/>
        <v>1231</v>
      </c>
      <c r="R63" s="64">
        <f t="shared" si="41"/>
        <v>1231</v>
      </c>
      <c r="S63" s="64">
        <f t="shared" si="41"/>
        <v>1231</v>
      </c>
      <c r="T63" s="64">
        <f t="shared" si="41"/>
        <v>1231</v>
      </c>
      <c r="U63" s="64">
        <f t="shared" si="41"/>
        <v>1231</v>
      </c>
      <c r="V63" s="64">
        <f t="shared" si="41"/>
        <v>1231</v>
      </c>
      <c r="W63" s="64">
        <f t="shared" si="41"/>
        <v>1231</v>
      </c>
      <c r="X63" s="64">
        <f t="shared" si="41"/>
        <v>1231</v>
      </c>
      <c r="Y63" s="64">
        <f t="shared" si="41"/>
        <v>1231</v>
      </c>
      <c r="Z63" s="64">
        <f t="shared" si="41"/>
        <v>1231</v>
      </c>
      <c r="AA63" s="64">
        <f t="shared" si="41"/>
        <v>1231</v>
      </c>
      <c r="AB63" s="64">
        <f t="shared" si="41"/>
        <v>1231</v>
      </c>
      <c r="AC63" s="64">
        <f t="shared" si="41"/>
        <v>1231</v>
      </c>
    </row>
    <row r="64" spans="2:40" hidden="1" outlineLevel="1" x14ac:dyDescent="0.2">
      <c r="B64" t="s">
        <v>107</v>
      </c>
      <c r="G64" s="64">
        <f>+G$21</f>
        <v>936</v>
      </c>
      <c r="H64" s="64">
        <f t="shared" ref="H64:O64" si="43">+G64</f>
        <v>936</v>
      </c>
      <c r="I64" s="64">
        <f t="shared" si="43"/>
        <v>936</v>
      </c>
      <c r="J64" s="64">
        <f t="shared" si="43"/>
        <v>936</v>
      </c>
      <c r="K64" s="64">
        <f t="shared" si="43"/>
        <v>936</v>
      </c>
      <c r="L64" s="64">
        <f t="shared" si="43"/>
        <v>936</v>
      </c>
      <c r="M64" s="64">
        <f t="shared" si="43"/>
        <v>936</v>
      </c>
      <c r="N64" s="64">
        <f t="shared" si="43"/>
        <v>936</v>
      </c>
      <c r="O64" s="64">
        <f t="shared" si="43"/>
        <v>936</v>
      </c>
      <c r="P64" s="64">
        <f t="shared" si="41"/>
        <v>936</v>
      </c>
      <c r="Q64" s="64">
        <f t="shared" si="41"/>
        <v>936</v>
      </c>
      <c r="R64" s="64">
        <f t="shared" si="41"/>
        <v>936</v>
      </c>
      <c r="S64" s="64">
        <f t="shared" si="41"/>
        <v>936</v>
      </c>
      <c r="T64" s="64">
        <f t="shared" si="41"/>
        <v>936</v>
      </c>
      <c r="U64" s="64">
        <f t="shared" si="41"/>
        <v>936</v>
      </c>
      <c r="V64" s="64">
        <f t="shared" si="41"/>
        <v>936</v>
      </c>
      <c r="W64" s="64">
        <f t="shared" si="41"/>
        <v>936</v>
      </c>
      <c r="X64" s="64">
        <f t="shared" si="41"/>
        <v>936</v>
      </c>
      <c r="Y64" s="64">
        <f t="shared" si="41"/>
        <v>936</v>
      </c>
      <c r="Z64" s="64">
        <f t="shared" si="41"/>
        <v>936</v>
      </c>
      <c r="AA64" s="64">
        <f t="shared" si="41"/>
        <v>936</v>
      </c>
      <c r="AB64" s="64">
        <f t="shared" si="41"/>
        <v>936</v>
      </c>
      <c r="AC64" s="64">
        <f t="shared" si="41"/>
        <v>936</v>
      </c>
    </row>
    <row r="65" spans="2:40" hidden="1" outlineLevel="1" x14ac:dyDescent="0.2">
      <c r="B65" t="s">
        <v>0</v>
      </c>
      <c r="H65" s="64">
        <f>+H$21</f>
        <v>1281</v>
      </c>
      <c r="I65" s="64">
        <f t="shared" ref="I65:O65" si="44">+H65</f>
        <v>1281</v>
      </c>
      <c r="J65" s="64">
        <f t="shared" si="44"/>
        <v>1281</v>
      </c>
      <c r="K65" s="64">
        <f t="shared" si="44"/>
        <v>1281</v>
      </c>
      <c r="L65" s="64">
        <f t="shared" si="44"/>
        <v>1281</v>
      </c>
      <c r="M65" s="64">
        <f t="shared" si="44"/>
        <v>1281</v>
      </c>
      <c r="N65" s="64">
        <f t="shared" si="44"/>
        <v>1281</v>
      </c>
      <c r="O65" s="64">
        <f t="shared" si="44"/>
        <v>1281</v>
      </c>
      <c r="P65" s="64">
        <f t="shared" si="41"/>
        <v>1281</v>
      </c>
      <c r="Q65" s="64">
        <f t="shared" si="41"/>
        <v>1281</v>
      </c>
      <c r="R65" s="64">
        <f t="shared" si="41"/>
        <v>1281</v>
      </c>
      <c r="S65" s="64">
        <f t="shared" si="41"/>
        <v>1281</v>
      </c>
      <c r="T65" s="64">
        <f t="shared" si="41"/>
        <v>1281</v>
      </c>
      <c r="U65" s="64">
        <f t="shared" si="41"/>
        <v>1281</v>
      </c>
      <c r="V65" s="64">
        <f t="shared" si="41"/>
        <v>1281</v>
      </c>
      <c r="W65" s="64">
        <f t="shared" si="41"/>
        <v>1281</v>
      </c>
      <c r="X65" s="64">
        <f t="shared" si="41"/>
        <v>1281</v>
      </c>
      <c r="Y65" s="64">
        <f t="shared" si="41"/>
        <v>1281</v>
      </c>
      <c r="Z65" s="64">
        <f t="shared" si="41"/>
        <v>1281</v>
      </c>
      <c r="AA65" s="64">
        <f t="shared" si="41"/>
        <v>1281</v>
      </c>
      <c r="AB65" s="64">
        <f t="shared" si="41"/>
        <v>1281</v>
      </c>
      <c r="AC65" s="64">
        <f t="shared" si="41"/>
        <v>1281</v>
      </c>
    </row>
    <row r="66" spans="2:40" hidden="1" outlineLevel="1" x14ac:dyDescent="0.2">
      <c r="B66" t="s">
        <v>1</v>
      </c>
      <c r="I66" s="64">
        <f>+I$21</f>
        <v>2151</v>
      </c>
      <c r="J66" s="64">
        <f t="shared" ref="J66:O66" si="45">+I66</f>
        <v>2151</v>
      </c>
      <c r="K66" s="64">
        <f t="shared" si="45"/>
        <v>2151</v>
      </c>
      <c r="L66" s="64">
        <f t="shared" si="45"/>
        <v>2151</v>
      </c>
      <c r="M66" s="64">
        <f t="shared" si="45"/>
        <v>2151</v>
      </c>
      <c r="N66" s="64">
        <f t="shared" si="45"/>
        <v>2151</v>
      </c>
      <c r="O66" s="64">
        <f t="shared" si="45"/>
        <v>2151</v>
      </c>
      <c r="P66" s="64">
        <f t="shared" si="41"/>
        <v>2151</v>
      </c>
      <c r="Q66" s="64">
        <f t="shared" si="41"/>
        <v>2151</v>
      </c>
      <c r="R66" s="64">
        <f t="shared" si="41"/>
        <v>2151</v>
      </c>
      <c r="S66" s="64">
        <f t="shared" si="41"/>
        <v>2151</v>
      </c>
      <c r="T66" s="64">
        <f t="shared" si="41"/>
        <v>2151</v>
      </c>
      <c r="U66" s="64">
        <f t="shared" si="41"/>
        <v>2151</v>
      </c>
      <c r="V66" s="64">
        <f t="shared" si="41"/>
        <v>2151</v>
      </c>
      <c r="W66" s="64">
        <f t="shared" si="41"/>
        <v>2151</v>
      </c>
      <c r="X66" s="64">
        <f t="shared" si="41"/>
        <v>2151</v>
      </c>
      <c r="Y66" s="64">
        <f t="shared" si="41"/>
        <v>2151</v>
      </c>
      <c r="Z66" s="64">
        <f t="shared" si="41"/>
        <v>2151</v>
      </c>
      <c r="AA66" s="64">
        <f t="shared" si="41"/>
        <v>2151</v>
      </c>
      <c r="AB66" s="64">
        <f t="shared" si="41"/>
        <v>2151</v>
      </c>
      <c r="AC66" s="64">
        <f t="shared" si="41"/>
        <v>2151</v>
      </c>
      <c r="AD66" s="64"/>
    </row>
    <row r="67" spans="2:40" hidden="1" outlineLevel="1" x14ac:dyDescent="0.2">
      <c r="B67" t="s">
        <v>2</v>
      </c>
      <c r="J67" s="64">
        <f>+J$21</f>
        <v>2716</v>
      </c>
      <c r="K67" s="64">
        <f>+J67</f>
        <v>2716</v>
      </c>
      <c r="L67" s="64">
        <f>+K67</f>
        <v>2716</v>
      </c>
      <c r="M67" s="64">
        <f>+L67</f>
        <v>2716</v>
      </c>
      <c r="N67" s="64">
        <f>+M67</f>
        <v>2716</v>
      </c>
      <c r="O67" s="64">
        <f>+N67</f>
        <v>2716</v>
      </c>
      <c r="P67" s="64">
        <f t="shared" si="41"/>
        <v>2716</v>
      </c>
      <c r="Q67" s="64">
        <f t="shared" si="41"/>
        <v>2716</v>
      </c>
      <c r="R67" s="64">
        <f t="shared" si="41"/>
        <v>2716</v>
      </c>
      <c r="S67" s="64">
        <f t="shared" si="41"/>
        <v>2716</v>
      </c>
      <c r="T67" s="64">
        <f t="shared" si="41"/>
        <v>2716</v>
      </c>
      <c r="U67" s="64">
        <f t="shared" si="41"/>
        <v>2716</v>
      </c>
      <c r="V67" s="64">
        <f t="shared" si="41"/>
        <v>2716</v>
      </c>
      <c r="W67" s="64">
        <f t="shared" si="41"/>
        <v>2716</v>
      </c>
      <c r="X67" s="64">
        <f t="shared" si="41"/>
        <v>2716</v>
      </c>
      <c r="Y67" s="64">
        <f t="shared" si="41"/>
        <v>2716</v>
      </c>
      <c r="Z67" s="64">
        <f t="shared" si="41"/>
        <v>2716</v>
      </c>
      <c r="AA67" s="64">
        <f t="shared" si="41"/>
        <v>2716</v>
      </c>
      <c r="AB67" s="64">
        <f t="shared" si="41"/>
        <v>2716</v>
      </c>
      <c r="AC67" s="64">
        <f t="shared" si="41"/>
        <v>2716</v>
      </c>
      <c r="AD67" s="64"/>
      <c r="AE67" s="64"/>
    </row>
    <row r="68" spans="2:40" hidden="1" outlineLevel="1" x14ac:dyDescent="0.2">
      <c r="B68" t="s">
        <v>3</v>
      </c>
      <c r="K68" s="64">
        <f>+K$21</f>
        <v>5432</v>
      </c>
      <c r="L68" s="64">
        <f>+K68</f>
        <v>5432</v>
      </c>
      <c r="M68" s="64">
        <f t="shared" si="41"/>
        <v>5432</v>
      </c>
      <c r="N68" s="64">
        <f t="shared" si="41"/>
        <v>5432</v>
      </c>
      <c r="O68" s="64">
        <f t="shared" si="41"/>
        <v>5432</v>
      </c>
      <c r="P68" s="64">
        <f t="shared" si="41"/>
        <v>5432</v>
      </c>
      <c r="Q68" s="64">
        <f t="shared" si="41"/>
        <v>5432</v>
      </c>
      <c r="R68" s="64">
        <f t="shared" si="41"/>
        <v>5432</v>
      </c>
      <c r="S68" s="64">
        <f t="shared" si="41"/>
        <v>5432</v>
      </c>
      <c r="T68" s="64">
        <f t="shared" si="41"/>
        <v>5432</v>
      </c>
      <c r="U68" s="64">
        <f t="shared" si="41"/>
        <v>5432</v>
      </c>
      <c r="V68" s="64">
        <f t="shared" si="41"/>
        <v>5432</v>
      </c>
      <c r="W68" s="64">
        <f t="shared" si="41"/>
        <v>5432</v>
      </c>
      <c r="X68" s="64">
        <f t="shared" si="41"/>
        <v>5432</v>
      </c>
      <c r="Y68" s="64">
        <f t="shared" si="41"/>
        <v>5432</v>
      </c>
      <c r="Z68" s="64">
        <f t="shared" si="41"/>
        <v>5432</v>
      </c>
      <c r="AA68" s="64">
        <f t="shared" si="41"/>
        <v>5432</v>
      </c>
      <c r="AB68" s="64">
        <f t="shared" si="41"/>
        <v>5432</v>
      </c>
      <c r="AC68" s="64">
        <f t="shared" si="41"/>
        <v>5432</v>
      </c>
      <c r="AD68" s="64"/>
      <c r="AE68" s="64"/>
      <c r="AF68" s="64"/>
    </row>
    <row r="69" spans="2:40" hidden="1" outlineLevel="1" x14ac:dyDescent="0.2">
      <c r="B69" t="s">
        <v>4</v>
      </c>
      <c r="L69" s="64">
        <f>+L$21</f>
        <v>9000</v>
      </c>
      <c r="M69" s="64">
        <f>+L69</f>
        <v>9000</v>
      </c>
      <c r="N69" s="64">
        <f t="shared" si="41"/>
        <v>9000</v>
      </c>
      <c r="O69" s="64">
        <f t="shared" si="41"/>
        <v>9000</v>
      </c>
      <c r="P69" s="64">
        <f t="shared" si="41"/>
        <v>9000</v>
      </c>
      <c r="Q69" s="64">
        <f t="shared" si="41"/>
        <v>9000</v>
      </c>
      <c r="R69" s="64">
        <f t="shared" si="41"/>
        <v>9000</v>
      </c>
      <c r="S69" s="64">
        <f t="shared" si="41"/>
        <v>9000</v>
      </c>
      <c r="T69" s="64">
        <f t="shared" si="41"/>
        <v>9000</v>
      </c>
      <c r="U69" s="64">
        <f t="shared" si="41"/>
        <v>9000</v>
      </c>
      <c r="V69" s="64">
        <f t="shared" si="41"/>
        <v>9000</v>
      </c>
      <c r="W69" s="64">
        <f t="shared" si="41"/>
        <v>9000</v>
      </c>
      <c r="X69" s="64">
        <f t="shared" si="41"/>
        <v>9000</v>
      </c>
      <c r="Y69" s="64">
        <f t="shared" si="41"/>
        <v>9000</v>
      </c>
      <c r="Z69" s="64">
        <f t="shared" si="41"/>
        <v>9000</v>
      </c>
      <c r="AA69" s="64">
        <f t="shared" si="41"/>
        <v>9000</v>
      </c>
      <c r="AB69" s="64">
        <f t="shared" si="41"/>
        <v>9000</v>
      </c>
      <c r="AC69" s="64">
        <f t="shared" si="41"/>
        <v>9000</v>
      </c>
      <c r="AD69" s="64"/>
      <c r="AE69" s="64"/>
      <c r="AF69" s="64"/>
      <c r="AG69" s="64"/>
    </row>
    <row r="70" spans="2:40" hidden="1" outlineLevel="1" x14ac:dyDescent="0.2">
      <c r="B70" t="s">
        <v>5</v>
      </c>
      <c r="M70" s="64">
        <f>+M$21</f>
        <v>11542</v>
      </c>
      <c r="N70" s="64">
        <f>+M70</f>
        <v>11542</v>
      </c>
      <c r="O70" s="64">
        <f t="shared" si="41"/>
        <v>11542</v>
      </c>
      <c r="P70" s="64">
        <f t="shared" si="41"/>
        <v>11542</v>
      </c>
      <c r="Q70" s="64">
        <f t="shared" si="41"/>
        <v>11542</v>
      </c>
      <c r="R70" s="64">
        <f t="shared" si="41"/>
        <v>11542</v>
      </c>
      <c r="S70" s="64">
        <f t="shared" si="41"/>
        <v>11542</v>
      </c>
      <c r="T70" s="64">
        <f t="shared" si="41"/>
        <v>11542</v>
      </c>
      <c r="U70" s="64">
        <f t="shared" si="41"/>
        <v>11542</v>
      </c>
      <c r="V70" s="64">
        <f t="shared" si="41"/>
        <v>11542</v>
      </c>
      <c r="W70" s="64">
        <f t="shared" si="41"/>
        <v>11542</v>
      </c>
      <c r="X70" s="64">
        <f t="shared" si="41"/>
        <v>11542</v>
      </c>
      <c r="Y70" s="64">
        <f t="shared" si="41"/>
        <v>11542</v>
      </c>
      <c r="Z70" s="64">
        <f t="shared" si="41"/>
        <v>11542</v>
      </c>
      <c r="AA70" s="64">
        <f t="shared" si="41"/>
        <v>11542</v>
      </c>
      <c r="AB70" s="64">
        <f t="shared" si="41"/>
        <v>11542</v>
      </c>
      <c r="AC70" s="64">
        <f t="shared" si="41"/>
        <v>11542</v>
      </c>
      <c r="AD70" s="64"/>
      <c r="AE70" s="64"/>
      <c r="AF70" s="64"/>
      <c r="AG70" s="64"/>
      <c r="AH70" s="64"/>
    </row>
    <row r="71" spans="2:40" hidden="1" outlineLevel="1" x14ac:dyDescent="0.2">
      <c r="B71" t="s">
        <v>6</v>
      </c>
      <c r="N71" s="64">
        <f>+N$21</f>
        <v>13876</v>
      </c>
      <c r="O71" s="64">
        <f>+N71</f>
        <v>13876</v>
      </c>
      <c r="P71" s="64">
        <f t="shared" si="41"/>
        <v>13876</v>
      </c>
      <c r="Q71" s="64">
        <f t="shared" si="41"/>
        <v>13876</v>
      </c>
      <c r="R71" s="64">
        <f t="shared" si="41"/>
        <v>13876</v>
      </c>
      <c r="S71" s="64">
        <f t="shared" si="41"/>
        <v>13876</v>
      </c>
      <c r="T71" s="64">
        <f t="shared" si="41"/>
        <v>13876</v>
      </c>
      <c r="U71" s="64">
        <f t="shared" si="41"/>
        <v>13876</v>
      </c>
      <c r="V71" s="64">
        <f t="shared" si="41"/>
        <v>13876</v>
      </c>
      <c r="W71" s="64">
        <f t="shared" si="41"/>
        <v>13876</v>
      </c>
      <c r="X71" s="64">
        <f t="shared" si="41"/>
        <v>13876</v>
      </c>
      <c r="Y71" s="64">
        <f t="shared" si="41"/>
        <v>13876</v>
      </c>
      <c r="Z71" s="64">
        <f t="shared" si="41"/>
        <v>13876</v>
      </c>
      <c r="AA71" s="64">
        <f t="shared" si="41"/>
        <v>13876</v>
      </c>
      <c r="AB71" s="64">
        <f t="shared" si="41"/>
        <v>13876</v>
      </c>
      <c r="AC71" s="64">
        <f t="shared" si="41"/>
        <v>13876</v>
      </c>
      <c r="AD71" s="64"/>
      <c r="AE71" s="64"/>
      <c r="AF71" s="64"/>
      <c r="AG71" s="64"/>
      <c r="AH71" s="64"/>
      <c r="AI71" s="64"/>
    </row>
    <row r="72" spans="2:40" hidden="1" outlineLevel="1" x14ac:dyDescent="0.2">
      <c r="B72" t="s">
        <v>321</v>
      </c>
      <c r="O72" s="64">
        <f>+O$21</f>
        <v>13439</v>
      </c>
      <c r="P72" s="64">
        <f>+O72</f>
        <v>13439</v>
      </c>
      <c r="Q72" s="64">
        <f t="shared" si="41"/>
        <v>13439</v>
      </c>
      <c r="R72" s="64">
        <f t="shared" si="41"/>
        <v>13439</v>
      </c>
      <c r="S72" s="64">
        <f t="shared" si="41"/>
        <v>13439</v>
      </c>
      <c r="T72" s="64">
        <f t="shared" si="41"/>
        <v>13439</v>
      </c>
      <c r="U72" s="64">
        <f t="shared" si="41"/>
        <v>13439</v>
      </c>
      <c r="V72" s="64">
        <f t="shared" si="41"/>
        <v>13439</v>
      </c>
      <c r="W72" s="64">
        <f t="shared" si="41"/>
        <v>13439</v>
      </c>
      <c r="X72" s="64">
        <f t="shared" si="41"/>
        <v>13439</v>
      </c>
      <c r="Y72" s="64">
        <f t="shared" si="41"/>
        <v>13439</v>
      </c>
      <c r="Z72" s="64">
        <f t="shared" si="41"/>
        <v>13439</v>
      </c>
      <c r="AA72" s="64">
        <f t="shared" si="41"/>
        <v>13439</v>
      </c>
      <c r="AB72" s="64">
        <f t="shared" si="41"/>
        <v>13439</v>
      </c>
      <c r="AC72" s="64">
        <f t="shared" si="41"/>
        <v>13439</v>
      </c>
      <c r="AD72" s="64"/>
      <c r="AE72" s="64"/>
      <c r="AF72" s="64"/>
      <c r="AG72" s="64"/>
      <c r="AH72" s="64"/>
      <c r="AI72" s="64"/>
      <c r="AJ72" s="64"/>
    </row>
    <row r="73" spans="2:40" hidden="1" outlineLevel="1" x14ac:dyDescent="0.2">
      <c r="B73" t="s">
        <v>306</v>
      </c>
      <c r="P73" s="64">
        <f>+P$21</f>
        <v>16239</v>
      </c>
      <c r="Q73" s="64">
        <f>+P73</f>
        <v>16239</v>
      </c>
      <c r="R73" s="64">
        <f t="shared" si="41"/>
        <v>16239</v>
      </c>
      <c r="S73" s="64">
        <f t="shared" si="41"/>
        <v>16239</v>
      </c>
      <c r="T73" s="64">
        <f t="shared" si="41"/>
        <v>16239</v>
      </c>
      <c r="U73" s="64">
        <f t="shared" si="41"/>
        <v>16239</v>
      </c>
      <c r="V73" s="64">
        <f t="shared" si="41"/>
        <v>16239</v>
      </c>
      <c r="W73" s="64">
        <f t="shared" si="41"/>
        <v>16239</v>
      </c>
      <c r="X73" s="64">
        <f t="shared" si="41"/>
        <v>16239</v>
      </c>
      <c r="Y73" s="64">
        <f t="shared" si="41"/>
        <v>16239</v>
      </c>
      <c r="Z73" s="64">
        <f t="shared" si="41"/>
        <v>16239</v>
      </c>
      <c r="AA73" s="64">
        <f t="shared" si="41"/>
        <v>16239</v>
      </c>
      <c r="AB73" s="64">
        <f t="shared" si="41"/>
        <v>16239</v>
      </c>
      <c r="AC73" s="64">
        <f t="shared" si="41"/>
        <v>16239</v>
      </c>
      <c r="AD73" s="64"/>
      <c r="AE73" s="64"/>
      <c r="AF73" s="64"/>
      <c r="AG73" s="64"/>
      <c r="AH73" s="64"/>
      <c r="AI73" s="64"/>
      <c r="AJ73" s="64"/>
      <c r="AK73" s="64"/>
    </row>
    <row r="74" spans="2:40" hidden="1" outlineLevel="1" x14ac:dyDescent="0.2">
      <c r="B74" t="s">
        <v>357</v>
      </c>
      <c r="Q74" s="64">
        <f>+Q$21</f>
        <v>26011</v>
      </c>
      <c r="R74" s="64">
        <f>+Q74</f>
        <v>26011</v>
      </c>
      <c r="S74" s="64">
        <f t="shared" si="41"/>
        <v>26011</v>
      </c>
      <c r="T74" s="64">
        <f t="shared" si="41"/>
        <v>26011</v>
      </c>
      <c r="U74" s="64">
        <f t="shared" si="41"/>
        <v>26011</v>
      </c>
      <c r="V74" s="64">
        <f t="shared" si="41"/>
        <v>26011</v>
      </c>
      <c r="W74" s="64">
        <f t="shared" si="41"/>
        <v>26011</v>
      </c>
      <c r="X74" s="64">
        <f t="shared" si="41"/>
        <v>26011</v>
      </c>
      <c r="Y74" s="64">
        <f t="shared" si="41"/>
        <v>26011</v>
      </c>
      <c r="Z74" s="64">
        <f t="shared" si="41"/>
        <v>26011</v>
      </c>
      <c r="AA74" s="64">
        <f t="shared" si="41"/>
        <v>26011</v>
      </c>
      <c r="AB74" s="64">
        <f t="shared" si="41"/>
        <v>26011</v>
      </c>
      <c r="AC74" s="64">
        <f t="shared" si="41"/>
        <v>26011</v>
      </c>
      <c r="AD74" s="64"/>
      <c r="AE74" s="64"/>
      <c r="AF74" s="64"/>
      <c r="AG74" s="64"/>
      <c r="AH74" s="64"/>
      <c r="AI74" s="64"/>
      <c r="AJ74" s="64"/>
      <c r="AK74" s="64"/>
      <c r="AL74" s="64"/>
    </row>
    <row r="75" spans="2:40" hidden="1" outlineLevel="1" x14ac:dyDescent="0.2">
      <c r="B75" t="s">
        <v>7</v>
      </c>
      <c r="R75" s="64">
        <f>+R$21</f>
        <v>34177.032715238092</v>
      </c>
      <c r="S75" s="64">
        <f>+R75</f>
        <v>34177.032715238092</v>
      </c>
      <c r="T75" s="64">
        <f t="shared" si="41"/>
        <v>34177.032715238092</v>
      </c>
      <c r="U75" s="64">
        <f t="shared" si="41"/>
        <v>34177.032715238092</v>
      </c>
      <c r="V75" s="64">
        <f t="shared" si="41"/>
        <v>34177.032715238092</v>
      </c>
      <c r="W75" s="64">
        <f t="shared" si="41"/>
        <v>34177.032715238092</v>
      </c>
      <c r="X75" s="64">
        <f t="shared" si="41"/>
        <v>34177.032715238092</v>
      </c>
      <c r="Y75" s="64">
        <f t="shared" si="41"/>
        <v>34177.032715238092</v>
      </c>
      <c r="Z75" s="64">
        <f t="shared" si="41"/>
        <v>34177.032715238092</v>
      </c>
      <c r="AA75" s="64">
        <f t="shared" si="41"/>
        <v>34177.032715238092</v>
      </c>
      <c r="AB75" s="64">
        <f t="shared" si="41"/>
        <v>34177.032715238092</v>
      </c>
      <c r="AC75" s="64">
        <f t="shared" si="41"/>
        <v>34177.032715238092</v>
      </c>
      <c r="AD75" s="64"/>
      <c r="AE75" s="64"/>
      <c r="AF75" s="64"/>
      <c r="AG75" s="64"/>
      <c r="AH75" s="64"/>
      <c r="AI75" s="64"/>
      <c r="AJ75" s="64"/>
      <c r="AK75" s="64"/>
      <c r="AL75" s="64"/>
      <c r="AM75" s="64"/>
    </row>
    <row r="76" spans="2:40" hidden="1" outlineLevel="1" x14ac:dyDescent="0.2">
      <c r="B76" t="s">
        <v>8</v>
      </c>
      <c r="S76" s="64">
        <f>+S$21</f>
        <v>39023.941031188995</v>
      </c>
      <c r="T76" s="64">
        <f>+S76</f>
        <v>39023.941031188995</v>
      </c>
      <c r="U76" s="64">
        <f t="shared" si="41"/>
        <v>39023.941031188995</v>
      </c>
      <c r="V76" s="64">
        <f t="shared" si="41"/>
        <v>39023.941031188995</v>
      </c>
      <c r="W76" s="64">
        <f t="shared" si="41"/>
        <v>39023.941031188995</v>
      </c>
      <c r="X76" s="64">
        <f t="shared" si="41"/>
        <v>39023.941031188995</v>
      </c>
      <c r="Y76" s="64">
        <f t="shared" si="41"/>
        <v>39023.941031188995</v>
      </c>
      <c r="Z76" s="64">
        <f t="shared" si="41"/>
        <v>39023.941031188995</v>
      </c>
      <c r="AA76" s="64">
        <f t="shared" si="41"/>
        <v>39023.941031188995</v>
      </c>
      <c r="AB76" s="64">
        <f t="shared" si="41"/>
        <v>39023.941031188995</v>
      </c>
      <c r="AC76" s="64">
        <f t="shared" si="41"/>
        <v>39023.941031188995</v>
      </c>
      <c r="AD76" s="64"/>
      <c r="AE76" s="64"/>
      <c r="AF76" s="64"/>
      <c r="AG76" s="64"/>
      <c r="AH76" s="64"/>
      <c r="AI76" s="64"/>
      <c r="AJ76" s="64"/>
      <c r="AK76" s="64"/>
      <c r="AL76" s="64"/>
      <c r="AM76" s="64"/>
      <c r="AN76" s="64"/>
    </row>
    <row r="77" spans="2:40" hidden="1" outlineLevel="1" x14ac:dyDescent="0.2">
      <c r="B77" t="s">
        <v>9</v>
      </c>
      <c r="S77" s="64"/>
      <c r="T77" s="64">
        <f>+T$21</f>
        <v>39365.273739330274</v>
      </c>
      <c r="U77" s="64">
        <f>+T77</f>
        <v>39365.273739330274</v>
      </c>
      <c r="V77" s="64">
        <f t="shared" si="41"/>
        <v>39365.273739330274</v>
      </c>
      <c r="W77" s="64">
        <f t="shared" si="41"/>
        <v>39365.273739330274</v>
      </c>
      <c r="X77" s="64">
        <f t="shared" si="41"/>
        <v>39365.273739330274</v>
      </c>
      <c r="Y77" s="64">
        <f t="shared" si="41"/>
        <v>39365.273739330274</v>
      </c>
      <c r="Z77" s="64">
        <f t="shared" si="41"/>
        <v>39365.273739330274</v>
      </c>
      <c r="AA77" s="64">
        <f t="shared" si="41"/>
        <v>39365.273739330274</v>
      </c>
      <c r="AB77" s="64">
        <f t="shared" si="41"/>
        <v>39365.273739330274</v>
      </c>
      <c r="AC77" s="64">
        <f t="shared" si="41"/>
        <v>39365.273739330274</v>
      </c>
      <c r="AD77" s="64"/>
      <c r="AE77" s="64"/>
      <c r="AF77" s="64"/>
      <c r="AG77" s="64"/>
      <c r="AH77" s="64"/>
      <c r="AI77" s="64"/>
      <c r="AJ77" s="64"/>
      <c r="AK77" s="64"/>
      <c r="AL77" s="64"/>
      <c r="AM77" s="64"/>
      <c r="AN77" s="64"/>
    </row>
    <row r="78" spans="2:40" hidden="1" outlineLevel="1" x14ac:dyDescent="0.2">
      <c r="B78" t="s">
        <v>10</v>
      </c>
      <c r="S78" s="64"/>
      <c r="T78" s="64"/>
      <c r="U78" s="64">
        <f>+U$21</f>
        <v>42719.541205585549</v>
      </c>
      <c r="V78" s="64">
        <f>+U78</f>
        <v>42719.541205585549</v>
      </c>
      <c r="W78" s="64">
        <f t="shared" ref="W78:AC83" si="46">+V78</f>
        <v>42719.541205585549</v>
      </c>
      <c r="X78" s="64">
        <f t="shared" si="46"/>
        <v>42719.541205585549</v>
      </c>
      <c r="Y78" s="64">
        <f t="shared" si="46"/>
        <v>42719.541205585549</v>
      </c>
      <c r="Z78" s="64">
        <f t="shared" si="46"/>
        <v>42719.541205585549</v>
      </c>
      <c r="AA78" s="64">
        <f t="shared" si="46"/>
        <v>42719.541205585549</v>
      </c>
      <c r="AB78" s="64">
        <f t="shared" si="46"/>
        <v>42719.541205585549</v>
      </c>
      <c r="AC78" s="64">
        <f t="shared" si="46"/>
        <v>42719.541205585549</v>
      </c>
      <c r="AD78" s="64"/>
      <c r="AE78" s="64"/>
      <c r="AF78" s="64"/>
      <c r="AG78" s="64"/>
      <c r="AH78" s="64"/>
      <c r="AI78" s="64"/>
      <c r="AJ78" s="64"/>
      <c r="AK78" s="64"/>
      <c r="AL78" s="64"/>
      <c r="AM78" s="64"/>
      <c r="AN78" s="64"/>
    </row>
    <row r="79" spans="2:40" hidden="1" outlineLevel="1" x14ac:dyDescent="0.2">
      <c r="B79" t="s">
        <v>11</v>
      </c>
      <c r="S79" s="64"/>
      <c r="T79" s="64"/>
      <c r="U79" s="64"/>
      <c r="V79" s="64">
        <f>+V$21</f>
        <v>48110.972525263067</v>
      </c>
      <c r="W79" s="64">
        <f>+V79</f>
        <v>48110.972525263067</v>
      </c>
      <c r="X79" s="64">
        <f t="shared" si="46"/>
        <v>48110.972525263067</v>
      </c>
      <c r="Y79" s="64">
        <f t="shared" si="46"/>
        <v>48110.972525263067</v>
      </c>
      <c r="Z79" s="64">
        <f t="shared" si="46"/>
        <v>48110.972525263067</v>
      </c>
      <c r="AA79" s="64">
        <f t="shared" si="46"/>
        <v>48110.972525263067</v>
      </c>
      <c r="AB79" s="64">
        <f t="shared" si="46"/>
        <v>48110.972525263067</v>
      </c>
      <c r="AC79" s="64">
        <f t="shared" si="46"/>
        <v>48110.972525263067</v>
      </c>
      <c r="AD79" s="64"/>
      <c r="AE79" s="64"/>
      <c r="AF79" s="64"/>
      <c r="AG79" s="64"/>
      <c r="AH79" s="64"/>
      <c r="AI79" s="64"/>
      <c r="AJ79" s="64"/>
      <c r="AK79" s="64"/>
      <c r="AL79" s="64"/>
      <c r="AM79" s="64"/>
      <c r="AN79" s="64"/>
    </row>
    <row r="80" spans="2:40" hidden="1" outlineLevel="1" x14ac:dyDescent="0.2">
      <c r="B80" t="s">
        <v>12</v>
      </c>
      <c r="S80" s="64"/>
      <c r="T80" s="64"/>
      <c r="U80" s="64"/>
      <c r="V80" s="64"/>
      <c r="W80" s="64">
        <f>+W$21</f>
        <v>53681.355972953294</v>
      </c>
      <c r="X80" s="64">
        <f>+W80</f>
        <v>53681.355972953294</v>
      </c>
      <c r="Y80" s="64">
        <f t="shared" si="46"/>
        <v>53681.355972953294</v>
      </c>
      <c r="Z80" s="64">
        <f t="shared" si="46"/>
        <v>53681.355972953294</v>
      </c>
      <c r="AA80" s="64">
        <f t="shared" si="46"/>
        <v>53681.355972953294</v>
      </c>
      <c r="AB80" s="64">
        <f t="shared" si="46"/>
        <v>53681.355972953294</v>
      </c>
      <c r="AC80" s="64">
        <f t="shared" si="46"/>
        <v>53681.355972953294</v>
      </c>
      <c r="AD80" s="64"/>
      <c r="AE80" s="64"/>
      <c r="AF80" s="64"/>
      <c r="AG80" s="64"/>
      <c r="AH80" s="64"/>
      <c r="AI80" s="64"/>
      <c r="AJ80" s="64"/>
      <c r="AK80" s="64"/>
      <c r="AL80" s="64"/>
      <c r="AM80" s="64"/>
      <c r="AN80" s="64"/>
    </row>
    <row r="81" spans="2:40" hidden="1" outlineLevel="1" x14ac:dyDescent="0.2">
      <c r="B81" t="s">
        <v>13</v>
      </c>
      <c r="S81" s="64"/>
      <c r="T81" s="64"/>
      <c r="U81" s="64"/>
      <c r="V81" s="64"/>
      <c r="W81" s="64"/>
      <c r="X81" s="64">
        <f>+X$21</f>
        <v>59343.853569557868</v>
      </c>
      <c r="Y81" s="64">
        <f>+X81</f>
        <v>59343.853569557868</v>
      </c>
      <c r="Z81" s="64">
        <f t="shared" si="46"/>
        <v>59343.853569557868</v>
      </c>
      <c r="AA81" s="64">
        <f t="shared" si="46"/>
        <v>59343.853569557868</v>
      </c>
      <c r="AB81" s="64">
        <f t="shared" si="46"/>
        <v>59343.853569557868</v>
      </c>
      <c r="AC81" s="64">
        <f t="shared" si="46"/>
        <v>59343.853569557868</v>
      </c>
      <c r="AD81" s="64"/>
      <c r="AE81" s="64"/>
      <c r="AF81" s="64"/>
      <c r="AG81" s="64"/>
      <c r="AH81" s="64"/>
      <c r="AI81" s="64"/>
      <c r="AJ81" s="64"/>
      <c r="AK81" s="64"/>
      <c r="AL81" s="64"/>
      <c r="AM81" s="64"/>
      <c r="AN81" s="64"/>
    </row>
    <row r="82" spans="2:40" hidden="1" outlineLevel="1" x14ac:dyDescent="0.2">
      <c r="B82" t="s">
        <v>14</v>
      </c>
      <c r="S82" s="64"/>
      <c r="T82" s="64"/>
      <c r="U82" s="64"/>
      <c r="V82" s="64"/>
      <c r="W82" s="64"/>
      <c r="X82" s="64"/>
      <c r="Y82" s="64">
        <f>+Y$21</f>
        <v>69054.546726683315</v>
      </c>
      <c r="Z82" s="64">
        <f>+Y82</f>
        <v>69054.546726683315</v>
      </c>
      <c r="AA82" s="64">
        <f t="shared" si="46"/>
        <v>69054.546726683315</v>
      </c>
      <c r="AB82" s="64">
        <f t="shared" si="46"/>
        <v>69054.546726683315</v>
      </c>
      <c r="AC82" s="64">
        <f t="shared" si="46"/>
        <v>69054.546726683315</v>
      </c>
      <c r="AD82" s="64"/>
      <c r="AE82" s="64"/>
      <c r="AF82" s="64"/>
      <c r="AG82" s="64"/>
      <c r="AH82" s="64"/>
      <c r="AI82" s="64"/>
      <c r="AJ82" s="64"/>
      <c r="AK82" s="64"/>
      <c r="AL82" s="64"/>
      <c r="AM82" s="64"/>
      <c r="AN82" s="64"/>
    </row>
    <row r="83" spans="2:40" hidden="1" outlineLevel="1" x14ac:dyDescent="0.2">
      <c r="B83" t="s">
        <v>15</v>
      </c>
      <c r="S83" s="64"/>
      <c r="T83" s="64"/>
      <c r="U83" s="64"/>
      <c r="V83" s="64"/>
      <c r="W83" s="64"/>
      <c r="X83" s="64"/>
      <c r="Y83" s="64"/>
      <c r="Z83" s="64">
        <f>+Z$21</f>
        <v>79901.62763364501</v>
      </c>
      <c r="AA83" s="64">
        <f>+Z83</f>
        <v>79901.62763364501</v>
      </c>
      <c r="AB83" s="64">
        <f t="shared" si="46"/>
        <v>79901.62763364501</v>
      </c>
      <c r="AC83" s="64">
        <f t="shared" si="46"/>
        <v>79901.62763364501</v>
      </c>
      <c r="AD83" s="64"/>
      <c r="AE83" s="64"/>
      <c r="AF83" s="64"/>
      <c r="AG83" s="64"/>
      <c r="AH83" s="64"/>
      <c r="AI83" s="64"/>
      <c r="AJ83" s="64"/>
      <c r="AK83" s="64"/>
      <c r="AL83" s="64"/>
      <c r="AM83" s="64"/>
      <c r="AN83" s="64"/>
    </row>
    <row r="84" spans="2:40" hidden="1" outlineLevel="1" x14ac:dyDescent="0.2">
      <c r="B84" t="s">
        <v>325</v>
      </c>
      <c r="S84" s="64"/>
      <c r="T84" s="64"/>
      <c r="U84" s="64"/>
      <c r="V84" s="64"/>
      <c r="W84" s="64"/>
      <c r="X84" s="64"/>
      <c r="Y84" s="64"/>
      <c r="Z84" s="64"/>
      <c r="AA84" s="64">
        <f>+AA$21</f>
        <v>91950.957313253573</v>
      </c>
      <c r="AB84" s="64">
        <f>+AA84</f>
        <v>91950.957313253573</v>
      </c>
      <c r="AC84" s="64">
        <f>+AB84</f>
        <v>91950.957313253573</v>
      </c>
      <c r="AD84" s="64"/>
      <c r="AE84" s="64"/>
      <c r="AF84" s="64"/>
      <c r="AG84" s="64"/>
      <c r="AH84" s="64"/>
      <c r="AI84" s="64"/>
      <c r="AJ84" s="64"/>
      <c r="AK84" s="64"/>
      <c r="AL84" s="64"/>
      <c r="AM84" s="64"/>
      <c r="AN84" s="64"/>
    </row>
    <row r="85" spans="2:40" hidden="1" outlineLevel="1" x14ac:dyDescent="0.2">
      <c r="B85" t="s">
        <v>346</v>
      </c>
      <c r="S85" s="64"/>
      <c r="T85" s="64"/>
      <c r="U85" s="64"/>
      <c r="V85" s="64"/>
      <c r="W85" s="64"/>
      <c r="X85" s="64"/>
      <c r="Y85" s="64"/>
      <c r="Z85" s="64"/>
      <c r="AA85" s="64"/>
      <c r="AB85" s="64">
        <f>+AB$21</f>
        <v>105262.01926807768</v>
      </c>
      <c r="AC85" s="64">
        <f>+AB85</f>
        <v>105262.01926807768</v>
      </c>
      <c r="AD85" s="64"/>
      <c r="AE85" s="64"/>
      <c r="AF85" s="64"/>
      <c r="AG85" s="64"/>
      <c r="AH85" s="64"/>
      <c r="AI85" s="64"/>
      <c r="AJ85" s="64"/>
      <c r="AK85" s="64"/>
      <c r="AL85" s="64"/>
      <c r="AM85" s="64"/>
      <c r="AN85" s="64"/>
    </row>
    <row r="86" spans="2:40" hidden="1" outlineLevel="1" x14ac:dyDescent="0.2">
      <c r="B86" t="s">
        <v>426</v>
      </c>
      <c r="S86" s="64"/>
      <c r="T86" s="64"/>
      <c r="U86" s="64"/>
      <c r="V86" s="64"/>
      <c r="W86" s="64"/>
      <c r="X86" s="64"/>
      <c r="Y86" s="64"/>
      <c r="Z86" s="64"/>
      <c r="AA86" s="64"/>
      <c r="AB86" s="64"/>
      <c r="AC86" s="64">
        <f>+AC$21</f>
        <v>119886.06370834397</v>
      </c>
      <c r="AD86" s="64"/>
      <c r="AE86" s="64"/>
      <c r="AF86" s="64"/>
      <c r="AG86" s="64"/>
      <c r="AH86" s="64"/>
      <c r="AI86" s="64"/>
      <c r="AJ86" s="64"/>
      <c r="AK86" s="64"/>
      <c r="AL86" s="64"/>
      <c r="AM86" s="64"/>
      <c r="AN86" s="64"/>
    </row>
    <row r="87" spans="2:40" hidden="1" outlineLevel="1" x14ac:dyDescent="0.2"/>
    <row r="88" spans="2:40" hidden="1" outlineLevel="1" x14ac:dyDescent="0.2">
      <c r="B88" s="54" t="s">
        <v>388</v>
      </c>
    </row>
    <row r="89" spans="2:40" hidden="1" outlineLevel="1" x14ac:dyDescent="0.2">
      <c r="B89" t="s">
        <v>371</v>
      </c>
      <c r="E89" s="64">
        <f>+SUM($D24:E24)</f>
        <v>162</v>
      </c>
      <c r="F89" s="64">
        <f>+SUM($D24:F24)</f>
        <v>324</v>
      </c>
      <c r="G89" s="64">
        <f>+SUM($D24:G24)</f>
        <v>486</v>
      </c>
      <c r="H89" s="64">
        <f>+SUM($D24:H24)</f>
        <v>648</v>
      </c>
      <c r="I89" s="64">
        <f>+SUM($D24:I24)</f>
        <v>810</v>
      </c>
      <c r="J89" s="64">
        <f>+SUM($D24:J24)</f>
        <v>972</v>
      </c>
      <c r="K89" s="64">
        <f>+SUM($D24:K24)</f>
        <v>972</v>
      </c>
      <c r="L89" s="64">
        <f>+SUM($D24:L24)</f>
        <v>972</v>
      </c>
      <c r="M89" s="64">
        <f>+SUM($D24:M24)</f>
        <v>972</v>
      </c>
      <c r="N89" s="64">
        <f>+SUM($D24:N24)</f>
        <v>972</v>
      </c>
      <c r="O89" s="64">
        <f>+SUM($D24:O24)</f>
        <v>972</v>
      </c>
      <c r="P89" s="64">
        <f>+SUM($D24:P24)</f>
        <v>972</v>
      </c>
      <c r="Q89" s="64">
        <f>+SUM($D24:Q24)</f>
        <v>972</v>
      </c>
      <c r="R89" s="64">
        <f>+SUM($D24:R24)</f>
        <v>972</v>
      </c>
      <c r="S89" s="64">
        <f>+SUM($D24:S24)</f>
        <v>972</v>
      </c>
      <c r="T89" s="64">
        <f>+SUM($D24:T24)</f>
        <v>972</v>
      </c>
      <c r="U89" s="64">
        <f>+SUM($D24:U24)</f>
        <v>972</v>
      </c>
      <c r="V89" s="64">
        <f>+SUM($D24:V24)</f>
        <v>972</v>
      </c>
      <c r="W89" s="64">
        <f>+SUM($D24:W24)</f>
        <v>972</v>
      </c>
      <c r="X89" s="64">
        <f>+SUM($D24:X24)</f>
        <v>972</v>
      </c>
      <c r="Y89" s="64">
        <f>+SUM($D24:Y24)</f>
        <v>972</v>
      </c>
      <c r="Z89" s="64">
        <f>+SUM($D24:Z24)</f>
        <v>972</v>
      </c>
      <c r="AA89" s="64">
        <f>+SUM($D24:AA24)</f>
        <v>972</v>
      </c>
      <c r="AB89" s="64">
        <f>+SUM($D24:AB24)</f>
        <v>972</v>
      </c>
      <c r="AC89" s="64">
        <f>+SUM($D24:AC24)</f>
        <v>972</v>
      </c>
    </row>
    <row r="90" spans="2:40" hidden="1" outlineLevel="1" x14ac:dyDescent="0.2">
      <c r="B90" t="s">
        <v>106</v>
      </c>
      <c r="F90" s="64">
        <f>+SUM($D25:F25)</f>
        <v>205.16666666666666</v>
      </c>
      <c r="G90" s="64">
        <f>+SUM($D25:G25)</f>
        <v>410.33333333333331</v>
      </c>
      <c r="H90" s="64">
        <f>+SUM($D25:H25)</f>
        <v>615.5</v>
      </c>
      <c r="I90" s="64">
        <f>+SUM($D25:I25)</f>
        <v>820.66666666666663</v>
      </c>
      <c r="J90" s="64">
        <f>+SUM($D25:J25)</f>
        <v>1025.8333333333333</v>
      </c>
      <c r="K90" s="64">
        <f>+SUM($D25:K25)</f>
        <v>1231</v>
      </c>
      <c r="L90" s="64">
        <f>+SUM($D25:L25)</f>
        <v>1231</v>
      </c>
      <c r="M90" s="64">
        <f>+SUM($D25:M25)</f>
        <v>1231</v>
      </c>
      <c r="N90" s="64">
        <f>+SUM($D25:N25)</f>
        <v>1231</v>
      </c>
      <c r="O90" s="64">
        <f>+SUM($D25:O25)</f>
        <v>1231</v>
      </c>
      <c r="P90" s="64">
        <f>+SUM($D25:P25)</f>
        <v>1231</v>
      </c>
      <c r="Q90" s="64">
        <f>+SUM($D25:Q25)</f>
        <v>1231</v>
      </c>
      <c r="R90" s="64">
        <f>+SUM($D25:R25)</f>
        <v>1231</v>
      </c>
      <c r="S90" s="64">
        <f>+SUM($D25:S25)</f>
        <v>1231</v>
      </c>
      <c r="T90" s="64">
        <f>+SUM($D25:T25)</f>
        <v>1231</v>
      </c>
      <c r="U90" s="64">
        <f>+SUM($D25:U25)</f>
        <v>1231</v>
      </c>
      <c r="V90" s="64">
        <f>+SUM($D25:V25)</f>
        <v>1231</v>
      </c>
      <c r="W90" s="64">
        <f>+SUM($D25:W25)</f>
        <v>1231</v>
      </c>
      <c r="X90" s="64">
        <f>+SUM($D25:X25)</f>
        <v>1231</v>
      </c>
      <c r="Y90" s="64">
        <f>+SUM($D25:Y25)</f>
        <v>1231</v>
      </c>
      <c r="Z90" s="64">
        <f>+SUM($D25:Z25)</f>
        <v>1231</v>
      </c>
      <c r="AA90" s="64">
        <f>+SUM($D25:AA25)</f>
        <v>1231</v>
      </c>
      <c r="AB90" s="64">
        <f>+SUM($D25:AB25)</f>
        <v>1231</v>
      </c>
      <c r="AC90" s="64">
        <f>+SUM($D25:AC25)</f>
        <v>1231</v>
      </c>
    </row>
    <row r="91" spans="2:40" hidden="1" outlineLevel="1" x14ac:dyDescent="0.2">
      <c r="B91" t="s">
        <v>107</v>
      </c>
      <c r="G91" s="64">
        <f>+SUM($D26:G26)</f>
        <v>156</v>
      </c>
      <c r="H91" s="64">
        <f>+SUM($D26:H26)</f>
        <v>312</v>
      </c>
      <c r="I91" s="64">
        <f>+SUM($D26:I26)</f>
        <v>468</v>
      </c>
      <c r="J91" s="64">
        <f>+SUM($D26:J26)</f>
        <v>624</v>
      </c>
      <c r="K91" s="64">
        <f>+SUM($D26:K26)</f>
        <v>780</v>
      </c>
      <c r="L91" s="64">
        <f>+SUM($D26:L26)</f>
        <v>936</v>
      </c>
      <c r="M91" s="64">
        <f>+SUM($D26:M26)</f>
        <v>936</v>
      </c>
      <c r="N91" s="64">
        <f>+SUM($D26:N26)</f>
        <v>936</v>
      </c>
      <c r="O91" s="64">
        <f>+SUM($D26:O26)</f>
        <v>936</v>
      </c>
      <c r="P91" s="64">
        <f>+SUM($D26:P26)</f>
        <v>936</v>
      </c>
      <c r="Q91" s="64">
        <f>+SUM($D26:Q26)</f>
        <v>936</v>
      </c>
      <c r="R91" s="64">
        <f>+SUM($D26:R26)</f>
        <v>936</v>
      </c>
      <c r="S91" s="64">
        <f>+SUM($D26:S26)</f>
        <v>936</v>
      </c>
      <c r="T91" s="64">
        <f>+SUM($D26:T26)</f>
        <v>936</v>
      </c>
      <c r="U91" s="64">
        <f>+SUM($D26:U26)</f>
        <v>936</v>
      </c>
      <c r="V91" s="64">
        <f>+SUM($D26:V26)</f>
        <v>936</v>
      </c>
      <c r="W91" s="64">
        <f>+SUM($D26:W26)</f>
        <v>936</v>
      </c>
      <c r="X91" s="64">
        <f>+SUM($D26:X26)</f>
        <v>936</v>
      </c>
      <c r="Y91" s="64">
        <f>+SUM($D26:Y26)</f>
        <v>936</v>
      </c>
      <c r="Z91" s="64">
        <f>+SUM($D26:Z26)</f>
        <v>936</v>
      </c>
      <c r="AA91" s="64">
        <f>+SUM($D26:AA26)</f>
        <v>936</v>
      </c>
      <c r="AB91" s="64">
        <f>+SUM($D26:AB26)</f>
        <v>936</v>
      </c>
      <c r="AC91" s="64">
        <f>+SUM($D26:AC26)</f>
        <v>936</v>
      </c>
    </row>
    <row r="92" spans="2:40" hidden="1" outlineLevel="1" x14ac:dyDescent="0.2">
      <c r="B92" t="s">
        <v>0</v>
      </c>
      <c r="H92" s="64">
        <f>+SUM($D27:H27)</f>
        <v>213.5</v>
      </c>
      <c r="I92" s="64">
        <f>+SUM($D27:I27)</f>
        <v>427</v>
      </c>
      <c r="J92" s="64">
        <f>+SUM($D27:J27)</f>
        <v>640.5</v>
      </c>
      <c r="K92" s="64">
        <f>+SUM($D27:K27)</f>
        <v>854</v>
      </c>
      <c r="L92" s="64">
        <f>+SUM($D27:L27)</f>
        <v>1067.5</v>
      </c>
      <c r="M92" s="64">
        <f>+SUM($D27:M27)</f>
        <v>1281</v>
      </c>
      <c r="N92" s="64">
        <f>+SUM($D27:N27)</f>
        <v>1281</v>
      </c>
      <c r="O92" s="64">
        <f>+SUM($D27:O27)</f>
        <v>1281</v>
      </c>
      <c r="P92" s="64">
        <f>+SUM($D27:P27)</f>
        <v>1281</v>
      </c>
      <c r="Q92" s="64">
        <f>+SUM($D27:Q27)</f>
        <v>1281</v>
      </c>
      <c r="R92" s="64">
        <f>+SUM($D27:R27)</f>
        <v>1281</v>
      </c>
      <c r="S92" s="64">
        <f>+SUM($D27:S27)</f>
        <v>1281</v>
      </c>
      <c r="T92" s="64">
        <f>+SUM($D27:T27)</f>
        <v>1281</v>
      </c>
      <c r="U92" s="64">
        <f>+SUM($D27:U27)</f>
        <v>1281</v>
      </c>
      <c r="V92" s="64">
        <f>+SUM($D27:V27)</f>
        <v>1281</v>
      </c>
      <c r="W92" s="64">
        <f>+SUM($D27:W27)</f>
        <v>1281</v>
      </c>
      <c r="X92" s="64">
        <f>+SUM($D27:X27)</f>
        <v>1281</v>
      </c>
      <c r="Y92" s="64">
        <f>+SUM($D27:Y27)</f>
        <v>1281</v>
      </c>
      <c r="Z92" s="64">
        <f>+SUM($D27:Z27)</f>
        <v>1281</v>
      </c>
      <c r="AA92" s="64">
        <f>+SUM($D27:AA27)</f>
        <v>1281</v>
      </c>
      <c r="AB92" s="64">
        <f>+SUM($D27:AB27)</f>
        <v>1281</v>
      </c>
      <c r="AC92" s="64">
        <f>+SUM($D27:AC27)</f>
        <v>1281</v>
      </c>
    </row>
    <row r="93" spans="2:40" hidden="1" outlineLevel="1" x14ac:dyDescent="0.2">
      <c r="B93" t="s">
        <v>1</v>
      </c>
      <c r="I93" s="64">
        <f>+SUM($D28:I28)</f>
        <v>358.5</v>
      </c>
      <c r="J93" s="64">
        <f>+SUM($D28:J28)</f>
        <v>717</v>
      </c>
      <c r="K93" s="64">
        <f>+SUM($D28:K28)</f>
        <v>1075.5</v>
      </c>
      <c r="L93" s="64">
        <f>+SUM($D28:L28)</f>
        <v>1434</v>
      </c>
      <c r="M93" s="64">
        <f>+SUM($D28:M28)</f>
        <v>1792.5</v>
      </c>
      <c r="N93" s="64">
        <f>+SUM($D28:N28)</f>
        <v>2151</v>
      </c>
      <c r="O93" s="64">
        <f>+SUM($D28:O28)</f>
        <v>2151</v>
      </c>
      <c r="P93" s="64">
        <f>+SUM($D28:P28)</f>
        <v>2151</v>
      </c>
      <c r="Q93" s="64">
        <f>+SUM($D28:Q28)</f>
        <v>2151</v>
      </c>
      <c r="R93" s="64">
        <f>+SUM($D28:R28)</f>
        <v>2151</v>
      </c>
      <c r="S93" s="64">
        <f>+SUM($D28:S28)</f>
        <v>2151</v>
      </c>
      <c r="T93" s="64">
        <f>+SUM($D28:T28)</f>
        <v>2151</v>
      </c>
      <c r="U93" s="64">
        <f>+SUM($D28:U28)</f>
        <v>2151</v>
      </c>
      <c r="V93" s="64">
        <f>+SUM($D28:V28)</f>
        <v>2151</v>
      </c>
      <c r="W93" s="64">
        <f>+SUM($D28:W28)</f>
        <v>2151</v>
      </c>
      <c r="X93" s="64">
        <f>+SUM($D28:X28)</f>
        <v>2151</v>
      </c>
      <c r="Y93" s="64">
        <f>+SUM($D28:Y28)</f>
        <v>2151</v>
      </c>
      <c r="Z93" s="64">
        <f>+SUM($D28:Z28)</f>
        <v>2151</v>
      </c>
      <c r="AA93" s="64">
        <f>+SUM($D28:AA28)</f>
        <v>2151</v>
      </c>
      <c r="AB93" s="64">
        <f>+SUM($D28:AB28)</f>
        <v>2151</v>
      </c>
      <c r="AC93" s="64">
        <f>+SUM($D28:AC28)</f>
        <v>2151</v>
      </c>
      <c r="AD93" s="64"/>
    </row>
    <row r="94" spans="2:40" hidden="1" outlineLevel="1" x14ac:dyDescent="0.2">
      <c r="B94" t="s">
        <v>2</v>
      </c>
      <c r="J94" s="64">
        <f>+SUM($D29:J29)</f>
        <v>452.66666666666669</v>
      </c>
      <c r="K94" s="64">
        <f>+SUM($D29:K29)</f>
        <v>905.33333333333337</v>
      </c>
      <c r="L94" s="64">
        <f>+SUM($D29:L29)</f>
        <v>1358</v>
      </c>
      <c r="M94" s="64">
        <f>+SUM($D29:M29)</f>
        <v>1810.6666666666667</v>
      </c>
      <c r="N94" s="64">
        <f>+SUM($D29:N29)</f>
        <v>2263.3333333333335</v>
      </c>
      <c r="O94" s="64">
        <f>+SUM($D29:O29)</f>
        <v>2651.3333333333335</v>
      </c>
      <c r="P94" s="64">
        <f>+SUM($D29:P29)</f>
        <v>2716</v>
      </c>
      <c r="Q94" s="64">
        <f>+SUM($D29:Q29)</f>
        <v>2716</v>
      </c>
      <c r="R94" s="64">
        <f>+SUM($D29:R29)</f>
        <v>2716</v>
      </c>
      <c r="S94" s="64">
        <f>+SUM($D29:S29)</f>
        <v>2716</v>
      </c>
      <c r="T94" s="64">
        <f>+SUM($D29:T29)</f>
        <v>2716</v>
      </c>
      <c r="U94" s="64">
        <f>+SUM($D29:U29)</f>
        <v>2716</v>
      </c>
      <c r="V94" s="64">
        <f>+SUM($D29:V29)</f>
        <v>2716</v>
      </c>
      <c r="W94" s="64">
        <f>+SUM($D29:W29)</f>
        <v>2716</v>
      </c>
      <c r="X94" s="64">
        <f>+SUM($D29:X29)</f>
        <v>2716</v>
      </c>
      <c r="Y94" s="64">
        <f>+SUM($D29:Y29)</f>
        <v>2716</v>
      </c>
      <c r="Z94" s="64">
        <f>+SUM($D29:Z29)</f>
        <v>2716</v>
      </c>
      <c r="AA94" s="64">
        <f>+SUM($D29:AA29)</f>
        <v>2716</v>
      </c>
      <c r="AB94" s="64">
        <f>+SUM($D29:AB29)</f>
        <v>2716</v>
      </c>
      <c r="AC94" s="64">
        <f>+SUM($D29:AC29)</f>
        <v>2716</v>
      </c>
      <c r="AD94" s="64"/>
      <c r="AE94" s="64"/>
    </row>
    <row r="95" spans="2:40" hidden="1" outlineLevel="1" x14ac:dyDescent="0.2">
      <c r="B95" t="s">
        <v>3</v>
      </c>
      <c r="K95" s="64">
        <f>+SUM($D30:K30)</f>
        <v>905.33333333333337</v>
      </c>
      <c r="L95" s="64">
        <f>+SUM($D30:L30)</f>
        <v>1810.6666666666667</v>
      </c>
      <c r="M95" s="64">
        <f>+SUM($D30:M30)</f>
        <v>2716</v>
      </c>
      <c r="N95" s="64">
        <f>+SUM($D30:N30)</f>
        <v>3621.3333333333335</v>
      </c>
      <c r="O95" s="64">
        <f>+SUM($D30:O30)</f>
        <v>4397.3333333333339</v>
      </c>
      <c r="P95" s="64">
        <f>+SUM($D30:P30)</f>
        <v>5121.6000000000004</v>
      </c>
      <c r="Q95" s="64">
        <f>+SUM($D30:Q30)</f>
        <v>5432</v>
      </c>
      <c r="R95" s="64">
        <f>+SUM($D30:R30)</f>
        <v>5432</v>
      </c>
      <c r="S95" s="64">
        <f>+SUM($D30:S30)</f>
        <v>5432</v>
      </c>
      <c r="T95" s="64">
        <f>+SUM($D30:T30)</f>
        <v>5432</v>
      </c>
      <c r="U95" s="64">
        <f>+SUM($D30:U30)</f>
        <v>5432</v>
      </c>
      <c r="V95" s="64">
        <f>+SUM($D30:V30)</f>
        <v>5432</v>
      </c>
      <c r="W95" s="64">
        <f>+SUM($D30:W30)</f>
        <v>5432</v>
      </c>
      <c r="X95" s="64">
        <f>+SUM($D30:X30)</f>
        <v>5432</v>
      </c>
      <c r="Y95" s="64">
        <f>+SUM($D30:Y30)</f>
        <v>5432</v>
      </c>
      <c r="Z95" s="64">
        <f>+SUM($D30:Z30)</f>
        <v>5432</v>
      </c>
      <c r="AA95" s="64">
        <f>+SUM($D30:AA30)</f>
        <v>5432</v>
      </c>
      <c r="AB95" s="64">
        <f>+SUM($D30:AB30)</f>
        <v>5432</v>
      </c>
      <c r="AC95" s="64">
        <f>+SUM($D30:AC30)</f>
        <v>5432</v>
      </c>
      <c r="AD95" s="64"/>
      <c r="AE95" s="64"/>
      <c r="AF95" s="64"/>
    </row>
    <row r="96" spans="2:40" hidden="1" outlineLevel="1" x14ac:dyDescent="0.2">
      <c r="B96" t="s">
        <v>4</v>
      </c>
      <c r="L96" s="64">
        <f>+SUM($D31:L31)</f>
        <v>1500</v>
      </c>
      <c r="M96" s="64">
        <f>+SUM($D31:M31)</f>
        <v>3000</v>
      </c>
      <c r="N96" s="64">
        <f>+SUM($D31:N31)</f>
        <v>4500</v>
      </c>
      <c r="O96" s="64">
        <f>+SUM($D31:O31)</f>
        <v>5785.7142857142862</v>
      </c>
      <c r="P96" s="64">
        <f>+SUM($D31:P31)</f>
        <v>6985.7142857142862</v>
      </c>
      <c r="Q96" s="64">
        <f>+SUM($D31:Q31)</f>
        <v>8110.7142857142862</v>
      </c>
      <c r="R96" s="64">
        <f>+SUM($D31:R31)</f>
        <v>9000</v>
      </c>
      <c r="S96" s="64">
        <f>+SUM($D31:S31)</f>
        <v>9000</v>
      </c>
      <c r="T96" s="64">
        <f>+SUM($D31:T31)</f>
        <v>9000</v>
      </c>
      <c r="U96" s="64">
        <f>+SUM($D31:U31)</f>
        <v>9000</v>
      </c>
      <c r="V96" s="64">
        <f>+SUM($D31:V31)</f>
        <v>9000</v>
      </c>
      <c r="W96" s="64">
        <f>+SUM($D31:W31)</f>
        <v>9000</v>
      </c>
      <c r="X96" s="64">
        <f>+SUM($D31:X31)</f>
        <v>9000</v>
      </c>
      <c r="Y96" s="64">
        <f>+SUM($D31:Y31)</f>
        <v>9000</v>
      </c>
      <c r="Z96" s="64">
        <f>+SUM($D31:Z31)</f>
        <v>9000</v>
      </c>
      <c r="AA96" s="64">
        <f>+SUM($D31:AA31)</f>
        <v>9000</v>
      </c>
      <c r="AB96" s="64">
        <f>+SUM($D31:AB31)</f>
        <v>9000</v>
      </c>
      <c r="AC96" s="64">
        <f>+SUM($D31:AC31)</f>
        <v>9000</v>
      </c>
      <c r="AD96" s="64"/>
      <c r="AE96" s="64"/>
      <c r="AF96" s="64"/>
      <c r="AG96" s="64"/>
    </row>
    <row r="97" spans="2:40" hidden="1" outlineLevel="1" x14ac:dyDescent="0.2">
      <c r="B97" t="s">
        <v>5</v>
      </c>
      <c r="M97" s="64">
        <f>+SUM($D32:M32)</f>
        <v>1923.6666666666667</v>
      </c>
      <c r="N97" s="64">
        <f>+SUM($D32:N32)</f>
        <v>3847.3333333333335</v>
      </c>
      <c r="O97" s="64">
        <f>+SUM($D32:O32)</f>
        <v>5496.1904761904761</v>
      </c>
      <c r="P97" s="64">
        <f>+SUM($D32:P32)</f>
        <v>7035.1238095238095</v>
      </c>
      <c r="Q97" s="64">
        <f>+SUM($D32:Q32)</f>
        <v>8477.8738095238095</v>
      </c>
      <c r="R97" s="64">
        <f>+SUM($D32:R32)</f>
        <v>9920.6238095238095</v>
      </c>
      <c r="S97" s="64">
        <f>+SUM($D32:S32)</f>
        <v>11363.37380952381</v>
      </c>
      <c r="T97" s="64">
        <f>+SUM($D32:T32)</f>
        <v>11542</v>
      </c>
      <c r="U97" s="64">
        <f>+SUM($D32:U32)</f>
        <v>11542</v>
      </c>
      <c r="V97" s="64">
        <f>+SUM($D32:V32)</f>
        <v>11542</v>
      </c>
      <c r="W97" s="64">
        <f>+SUM($D32:W32)</f>
        <v>11542</v>
      </c>
      <c r="X97" s="64">
        <f>+SUM($D32:X32)</f>
        <v>11542</v>
      </c>
      <c r="Y97" s="64">
        <f>+SUM($D32:Y32)</f>
        <v>11542</v>
      </c>
      <c r="Z97" s="64">
        <f>+SUM($D32:Z32)</f>
        <v>11542</v>
      </c>
      <c r="AA97" s="64">
        <f>+SUM($D32:AA32)</f>
        <v>11542</v>
      </c>
      <c r="AB97" s="64">
        <f>+SUM($D32:AB32)</f>
        <v>11542</v>
      </c>
      <c r="AC97" s="64">
        <f>+SUM($D32:AC32)</f>
        <v>11542</v>
      </c>
      <c r="AD97" s="64"/>
      <c r="AE97" s="64"/>
      <c r="AF97" s="64"/>
      <c r="AG97" s="64"/>
      <c r="AH97" s="64"/>
    </row>
    <row r="98" spans="2:40" hidden="1" outlineLevel="1" x14ac:dyDescent="0.2">
      <c r="B98" t="s">
        <v>6</v>
      </c>
      <c r="N98" s="64">
        <f>+SUM($D33:N33)</f>
        <v>2312.6666666666665</v>
      </c>
      <c r="O98" s="64">
        <f>+SUM($D33:O33)</f>
        <v>4294.9523809523807</v>
      </c>
      <c r="P98" s="64">
        <f>+SUM($D33:P33)</f>
        <v>6145.0857142857139</v>
      </c>
      <c r="Q98" s="64">
        <f>+SUM($D33:Q33)</f>
        <v>7879.5857142857139</v>
      </c>
      <c r="R98" s="64">
        <f>+SUM($D33:R33)</f>
        <v>9614.085714285713</v>
      </c>
      <c r="S98" s="64">
        <f>+SUM($D33:S33)</f>
        <v>11348.585714285713</v>
      </c>
      <c r="T98" s="64">
        <f>+SUM($D33:T33)</f>
        <v>13083.085714285713</v>
      </c>
      <c r="U98" s="64">
        <f>+SUM($D33:U33)</f>
        <v>13876</v>
      </c>
      <c r="V98" s="64">
        <f>+SUM($D33:V33)</f>
        <v>13876</v>
      </c>
      <c r="W98" s="64">
        <f>+SUM($D33:W33)</f>
        <v>13876</v>
      </c>
      <c r="X98" s="64">
        <f>+SUM($D33:X33)</f>
        <v>13876</v>
      </c>
      <c r="Y98" s="64">
        <f>+SUM($D33:Y33)</f>
        <v>13876</v>
      </c>
      <c r="Z98" s="64">
        <f>+SUM($D33:Z33)</f>
        <v>13876</v>
      </c>
      <c r="AA98" s="64">
        <f>+SUM($D33:AA33)</f>
        <v>13876</v>
      </c>
      <c r="AB98" s="64">
        <f>+SUM($D33:AB33)</f>
        <v>13876</v>
      </c>
      <c r="AC98" s="64">
        <f>+SUM($D33:AC33)</f>
        <v>13876</v>
      </c>
      <c r="AD98" s="64"/>
      <c r="AE98" s="64"/>
      <c r="AF98" s="64"/>
      <c r="AG98" s="64"/>
      <c r="AH98" s="64"/>
      <c r="AI98" s="64"/>
    </row>
    <row r="99" spans="2:40" hidden="1" outlineLevel="1" x14ac:dyDescent="0.2">
      <c r="B99" t="s">
        <v>321</v>
      </c>
      <c r="O99" s="64">
        <f>+SUM($D34:O34)</f>
        <v>1919.8571428571429</v>
      </c>
      <c r="P99" s="64">
        <f>+SUM($D34:P34)</f>
        <v>3711.7238095238095</v>
      </c>
      <c r="Q99" s="64">
        <f>+SUM($D34:Q34)</f>
        <v>5391.5988095238099</v>
      </c>
      <c r="R99" s="64">
        <f>+SUM($D34:R34)</f>
        <v>7071.4738095238099</v>
      </c>
      <c r="S99" s="64">
        <f>+SUM($D34:S34)</f>
        <v>8751.3488095238099</v>
      </c>
      <c r="T99" s="64">
        <f>+SUM($D34:T34)</f>
        <v>10431.22380952381</v>
      </c>
      <c r="U99" s="64">
        <f>+SUM($D34:U34)</f>
        <v>12111.09880952381</v>
      </c>
      <c r="V99" s="64">
        <f>+SUM($D34:V34)</f>
        <v>13439</v>
      </c>
      <c r="W99" s="64">
        <f>+SUM($D34:W34)</f>
        <v>13439</v>
      </c>
      <c r="X99" s="64">
        <f>+SUM($D34:X34)</f>
        <v>13439</v>
      </c>
      <c r="Y99" s="64">
        <f>+SUM($D34:Y34)</f>
        <v>13439</v>
      </c>
      <c r="Z99" s="64">
        <f>+SUM($D34:Z34)</f>
        <v>13439</v>
      </c>
      <c r="AA99" s="64">
        <f>+SUM($D34:AA34)</f>
        <v>13439</v>
      </c>
      <c r="AB99" s="64">
        <f>+SUM($D34:AB34)</f>
        <v>13439</v>
      </c>
      <c r="AC99" s="64">
        <f>+SUM($D34:AC34)</f>
        <v>13439</v>
      </c>
      <c r="AD99" s="64"/>
      <c r="AE99" s="64"/>
      <c r="AF99" s="64"/>
      <c r="AG99" s="64"/>
      <c r="AH99" s="64"/>
      <c r="AI99" s="64"/>
      <c r="AJ99" s="64"/>
    </row>
    <row r="100" spans="2:40" hidden="1" outlineLevel="1" x14ac:dyDescent="0.2">
      <c r="B100" t="s">
        <v>306</v>
      </c>
      <c r="P100" s="64">
        <f>+SUM($D35:P35)</f>
        <v>2165.1999999999998</v>
      </c>
      <c r="Q100" s="64">
        <f>+SUM($D35:Q35)</f>
        <v>4195.0749999999998</v>
      </c>
      <c r="R100" s="64">
        <f>+SUM($D35:R35)</f>
        <v>6224.95</v>
      </c>
      <c r="S100" s="64">
        <f>+SUM($D35:S35)</f>
        <v>8254.8250000000007</v>
      </c>
      <c r="T100" s="64">
        <f>+SUM($D35:T35)</f>
        <v>10284.700000000001</v>
      </c>
      <c r="U100" s="64">
        <f>+SUM($D35:U35)</f>
        <v>12314.575000000001</v>
      </c>
      <c r="V100" s="64">
        <f>+SUM($D35:V35)</f>
        <v>14344.45</v>
      </c>
      <c r="W100" s="64">
        <f>+SUM($D35:W35)</f>
        <v>16239</v>
      </c>
      <c r="X100" s="64">
        <f>+SUM($D35:X35)</f>
        <v>16239</v>
      </c>
      <c r="Y100" s="64">
        <f>+SUM($D35:Y35)</f>
        <v>16239</v>
      </c>
      <c r="Z100" s="64">
        <f>+SUM($D35:Z35)</f>
        <v>16239</v>
      </c>
      <c r="AA100" s="64">
        <f>+SUM($D35:AA35)</f>
        <v>16239</v>
      </c>
      <c r="AB100" s="64">
        <f>+SUM($D35:AB35)</f>
        <v>16239</v>
      </c>
      <c r="AC100" s="64">
        <f>+SUM($D35:AC35)</f>
        <v>16239</v>
      </c>
      <c r="AD100" s="64"/>
      <c r="AE100" s="64"/>
      <c r="AF100" s="64"/>
      <c r="AG100" s="64"/>
      <c r="AH100" s="64"/>
      <c r="AI100" s="64"/>
      <c r="AJ100" s="64"/>
      <c r="AK100" s="64"/>
    </row>
    <row r="101" spans="2:40" hidden="1" outlineLevel="1" x14ac:dyDescent="0.2">
      <c r="B101" t="s">
        <v>357</v>
      </c>
      <c r="Q101" s="64">
        <f>+SUM($D36:Q36)</f>
        <v>3251.375</v>
      </c>
      <c r="R101" s="64">
        <f>+SUM($D36:R36)</f>
        <v>6502.75</v>
      </c>
      <c r="S101" s="64">
        <f>+SUM($D36:S36)</f>
        <v>9754.125</v>
      </c>
      <c r="T101" s="64">
        <f>+SUM($D36:T36)</f>
        <v>13005.5</v>
      </c>
      <c r="U101" s="64">
        <f>+SUM($D36:U36)</f>
        <v>16256.875</v>
      </c>
      <c r="V101" s="64">
        <f>+SUM($D36:V36)</f>
        <v>19508.25</v>
      </c>
      <c r="W101" s="64">
        <f>+SUM($D36:W36)</f>
        <v>22759.625</v>
      </c>
      <c r="X101" s="64">
        <f>+SUM($D36:X36)</f>
        <v>26011</v>
      </c>
      <c r="Y101" s="64">
        <f>+SUM($D36:Y36)</f>
        <v>26011</v>
      </c>
      <c r="Z101" s="64">
        <f>+SUM($D36:Z36)</f>
        <v>26011</v>
      </c>
      <c r="AA101" s="64">
        <f>+SUM($D36:AA36)</f>
        <v>26011</v>
      </c>
      <c r="AB101" s="64">
        <f>+SUM($D36:AB36)</f>
        <v>26011</v>
      </c>
      <c r="AC101" s="64">
        <f>+SUM($D36:AC36)</f>
        <v>26011</v>
      </c>
      <c r="AD101" s="64"/>
      <c r="AE101" s="64"/>
      <c r="AF101" s="64"/>
      <c r="AG101" s="64"/>
      <c r="AH101" s="64"/>
      <c r="AI101" s="64"/>
      <c r="AJ101" s="64"/>
      <c r="AK101" s="64"/>
      <c r="AL101" s="64"/>
    </row>
    <row r="102" spans="2:40" hidden="1" outlineLevel="1" x14ac:dyDescent="0.2">
      <c r="B102" t="s">
        <v>7</v>
      </c>
      <c r="R102" s="64">
        <f>+SUM($D37:R37)</f>
        <v>4272.1290894047615</v>
      </c>
      <c r="S102" s="64">
        <f>+SUM($D37:S37)</f>
        <v>8544.2581788095231</v>
      </c>
      <c r="T102" s="64">
        <f>+SUM($D37:T37)</f>
        <v>12816.387268214285</v>
      </c>
      <c r="U102" s="64">
        <f>+SUM($D37:U37)</f>
        <v>17088.516357619046</v>
      </c>
      <c r="V102" s="64">
        <f>+SUM($D37:V37)</f>
        <v>21360.64544702381</v>
      </c>
      <c r="W102" s="64">
        <f>+SUM($D37:W37)</f>
        <v>25632.774536428573</v>
      </c>
      <c r="X102" s="64">
        <f>+SUM($D37:X37)</f>
        <v>29904.903625833336</v>
      </c>
      <c r="Y102" s="64">
        <f>+SUM($D37:Y37)</f>
        <v>34177.032715238092</v>
      </c>
      <c r="Z102" s="64">
        <f>+SUM($D37:Z37)</f>
        <v>34177.032715238092</v>
      </c>
      <c r="AA102" s="64">
        <f>+SUM($D37:AA37)</f>
        <v>34177.032715238092</v>
      </c>
      <c r="AB102" s="64">
        <f>+SUM($D37:AB37)</f>
        <v>34177.032715238092</v>
      </c>
      <c r="AC102" s="64">
        <f>+SUM($D37:AC37)</f>
        <v>34177.032715238092</v>
      </c>
      <c r="AD102" s="64"/>
      <c r="AE102" s="64"/>
      <c r="AF102" s="64"/>
      <c r="AG102" s="64"/>
      <c r="AH102" s="64"/>
      <c r="AI102" s="64"/>
      <c r="AJ102" s="64"/>
      <c r="AK102" s="64"/>
      <c r="AL102" s="64"/>
      <c r="AM102" s="64"/>
    </row>
    <row r="103" spans="2:40" hidden="1" outlineLevel="1" x14ac:dyDescent="0.2">
      <c r="B103" t="s">
        <v>8</v>
      </c>
      <c r="S103" s="64">
        <f>+SUM($D38:S38)</f>
        <v>4877.9926288986244</v>
      </c>
      <c r="T103" s="64">
        <f>+SUM($D38:T38)</f>
        <v>9755.9852577972488</v>
      </c>
      <c r="U103" s="64">
        <f>+SUM($D38:U38)</f>
        <v>14633.977886695873</v>
      </c>
      <c r="V103" s="64">
        <f>+SUM($D38:V38)</f>
        <v>19511.970515594498</v>
      </c>
      <c r="W103" s="64">
        <f>+SUM($D38:W38)</f>
        <v>24389.963144493122</v>
      </c>
      <c r="X103" s="64">
        <f>+SUM($D38:X38)</f>
        <v>29267.955773391746</v>
      </c>
      <c r="Y103" s="64">
        <f>+SUM($D38:Y38)</f>
        <v>34145.948402290371</v>
      </c>
      <c r="Z103" s="64">
        <f>+SUM($D38:Z38)</f>
        <v>39023.941031188995</v>
      </c>
      <c r="AA103" s="64">
        <f>+SUM($D38:AA38)</f>
        <v>39023.941031188995</v>
      </c>
      <c r="AB103" s="64">
        <f>+SUM($D38:AB38)</f>
        <v>39023.941031188995</v>
      </c>
      <c r="AC103" s="64">
        <f>+SUM($D38:AC38)</f>
        <v>39023.941031188995</v>
      </c>
      <c r="AD103" s="64"/>
      <c r="AE103" s="64"/>
      <c r="AF103" s="64"/>
      <c r="AG103" s="64"/>
      <c r="AH103" s="64"/>
      <c r="AI103" s="64"/>
      <c r="AJ103" s="64"/>
      <c r="AK103" s="64"/>
      <c r="AL103" s="64"/>
      <c r="AM103" s="64"/>
      <c r="AN103" s="64"/>
    </row>
    <row r="104" spans="2:40" hidden="1" outlineLevel="1" x14ac:dyDescent="0.2">
      <c r="B104" t="s">
        <v>9</v>
      </c>
      <c r="S104" s="64"/>
      <c r="T104" s="64">
        <f>+SUM($D39:T39)</f>
        <v>4920.6592174162843</v>
      </c>
      <c r="U104" s="64">
        <f>+SUM($D39:U39)</f>
        <v>9841.3184348325685</v>
      </c>
      <c r="V104" s="64">
        <f>+SUM($D39:V39)</f>
        <v>14761.977652248854</v>
      </c>
      <c r="W104" s="64">
        <f>+SUM($D39:W39)</f>
        <v>19682.636869665137</v>
      </c>
      <c r="X104" s="64">
        <f>+SUM($D39:X39)</f>
        <v>24603.29608708142</v>
      </c>
      <c r="Y104" s="64">
        <f>+SUM($D39:Y39)</f>
        <v>29523.955304497704</v>
      </c>
      <c r="Z104" s="64">
        <f>+SUM($D39:Z39)</f>
        <v>34444.614521913987</v>
      </c>
      <c r="AA104" s="64">
        <f>+SUM($D39:AA39)</f>
        <v>39365.273739330274</v>
      </c>
      <c r="AB104" s="64">
        <f>+SUM($D39:AB39)</f>
        <v>39365.273739330274</v>
      </c>
      <c r="AC104" s="64">
        <f>+SUM($D39:AC39)</f>
        <v>39365.273739330274</v>
      </c>
      <c r="AD104" s="64"/>
      <c r="AE104" s="64"/>
      <c r="AF104" s="64"/>
      <c r="AG104" s="64"/>
      <c r="AH104" s="64"/>
      <c r="AI104" s="64"/>
      <c r="AJ104" s="64"/>
      <c r="AK104" s="64"/>
      <c r="AL104" s="64"/>
      <c r="AM104" s="64"/>
      <c r="AN104" s="64"/>
    </row>
    <row r="105" spans="2:40" hidden="1" outlineLevel="1" x14ac:dyDescent="0.2">
      <c r="B105" t="s">
        <v>10</v>
      </c>
      <c r="S105" s="64"/>
      <c r="T105" s="64"/>
      <c r="U105" s="64">
        <f>+SUM($D40:U40)</f>
        <v>5339.9426506981936</v>
      </c>
      <c r="V105" s="64">
        <f>+SUM($D40:V40)</f>
        <v>10679.885301396387</v>
      </c>
      <c r="W105" s="64">
        <f>+SUM($D40:W40)</f>
        <v>16019.82795209458</v>
      </c>
      <c r="X105" s="64">
        <f>+SUM($D40:X40)</f>
        <v>21359.770602792774</v>
      </c>
      <c r="Y105" s="64">
        <f>+SUM($D40:Y40)</f>
        <v>26699.713253490969</v>
      </c>
      <c r="Z105" s="64">
        <f>+SUM($D40:Z40)</f>
        <v>32039.655904189163</v>
      </c>
      <c r="AA105" s="64">
        <f>+SUM($D40:AA40)</f>
        <v>37379.598554887358</v>
      </c>
      <c r="AB105" s="64">
        <f>+SUM($D40:AB40)</f>
        <v>42719.541205585549</v>
      </c>
      <c r="AC105" s="64">
        <f>+SUM($D40:AC40)</f>
        <v>42719.541205585549</v>
      </c>
      <c r="AD105" s="64"/>
      <c r="AE105" s="64"/>
      <c r="AF105" s="64"/>
      <c r="AG105" s="64"/>
      <c r="AH105" s="64"/>
      <c r="AI105" s="64"/>
      <c r="AJ105" s="64"/>
      <c r="AK105" s="64"/>
      <c r="AL105" s="64"/>
      <c r="AM105" s="64"/>
      <c r="AN105" s="64"/>
    </row>
    <row r="106" spans="2:40" hidden="1" outlineLevel="1" x14ac:dyDescent="0.2">
      <c r="B106" t="s">
        <v>11</v>
      </c>
      <c r="S106" s="64"/>
      <c r="T106" s="64"/>
      <c r="U106" s="64"/>
      <c r="V106" s="64">
        <f>+SUM($D41:V41)</f>
        <v>6013.8715656578834</v>
      </c>
      <c r="W106" s="64">
        <f>+SUM($D41:W41)</f>
        <v>12027.743131315767</v>
      </c>
      <c r="X106" s="64">
        <f>+SUM($D41:X41)</f>
        <v>18041.614696973651</v>
      </c>
      <c r="Y106" s="64">
        <f>+SUM($D41:Y41)</f>
        <v>24055.486262631533</v>
      </c>
      <c r="Z106" s="64">
        <f>+SUM($D41:Z41)</f>
        <v>30069.357828289416</v>
      </c>
      <c r="AA106" s="64">
        <f>+SUM($D41:AA41)</f>
        <v>36083.229393947302</v>
      </c>
      <c r="AB106" s="64">
        <f>+SUM($D41:AB41)</f>
        <v>42097.100959605188</v>
      </c>
      <c r="AC106" s="64">
        <f>+SUM($D41:AC41)</f>
        <v>48110.972525263067</v>
      </c>
      <c r="AD106" s="64"/>
      <c r="AE106" s="64"/>
      <c r="AF106" s="64"/>
      <c r="AG106" s="64"/>
      <c r="AH106" s="64"/>
      <c r="AI106" s="64"/>
      <c r="AJ106" s="64"/>
      <c r="AK106" s="64"/>
      <c r="AL106" s="64"/>
      <c r="AM106" s="64"/>
      <c r="AN106" s="64"/>
    </row>
    <row r="107" spans="2:40" hidden="1" outlineLevel="1" x14ac:dyDescent="0.2">
      <c r="B107" t="s">
        <v>12</v>
      </c>
      <c r="S107" s="64"/>
      <c r="T107" s="64"/>
      <c r="U107" s="64"/>
      <c r="V107" s="64"/>
      <c r="W107" s="64">
        <f>+SUM($D42:W42)</f>
        <v>6710.1694966191617</v>
      </c>
      <c r="X107" s="64">
        <f>+SUM($D42:X42)</f>
        <v>13420.338993238323</v>
      </c>
      <c r="Y107" s="64">
        <f>+SUM($D42:Y42)</f>
        <v>20130.508489857486</v>
      </c>
      <c r="Z107" s="64">
        <f>+SUM($D42:Z42)</f>
        <v>26840.677986476647</v>
      </c>
      <c r="AA107" s="64">
        <f>+SUM($D42:AA42)</f>
        <v>33550.847483095808</v>
      </c>
      <c r="AB107" s="64">
        <f>+SUM($D42:AB42)</f>
        <v>40261.016979714972</v>
      </c>
      <c r="AC107" s="64">
        <f>+SUM($D42:AC42)</f>
        <v>46971.186476334136</v>
      </c>
      <c r="AD107" s="64"/>
      <c r="AE107" s="64"/>
      <c r="AF107" s="64"/>
      <c r="AG107" s="64"/>
      <c r="AH107" s="64"/>
      <c r="AI107" s="64"/>
      <c r="AJ107" s="64"/>
      <c r="AK107" s="64"/>
      <c r="AL107" s="64"/>
      <c r="AM107" s="64"/>
      <c r="AN107" s="64"/>
    </row>
    <row r="108" spans="2:40" hidden="1" outlineLevel="1" x14ac:dyDescent="0.2">
      <c r="B108" t="s">
        <v>13</v>
      </c>
      <c r="S108" s="64"/>
      <c r="T108" s="64"/>
      <c r="U108" s="64"/>
      <c r="V108" s="64"/>
      <c r="W108" s="64"/>
      <c r="X108" s="64">
        <f>+SUM($D43:X43)</f>
        <v>7417.9816961947336</v>
      </c>
      <c r="Y108" s="64">
        <f>+SUM($D43:Y43)</f>
        <v>14835.963392389467</v>
      </c>
      <c r="Z108" s="64">
        <f>+SUM($D43:Z43)</f>
        <v>22253.945088584202</v>
      </c>
      <c r="AA108" s="64">
        <f>+SUM($D43:AA43)</f>
        <v>29671.926784778934</v>
      </c>
      <c r="AB108" s="64">
        <f>+SUM($D43:AB43)</f>
        <v>37089.908480973667</v>
      </c>
      <c r="AC108" s="64">
        <f>+SUM($D43:AC43)</f>
        <v>44507.890177168403</v>
      </c>
      <c r="AD108" s="64"/>
      <c r="AE108" s="64"/>
      <c r="AF108" s="64"/>
      <c r="AG108" s="64"/>
      <c r="AH108" s="64"/>
      <c r="AI108" s="64"/>
      <c r="AJ108" s="64"/>
      <c r="AK108" s="64"/>
      <c r="AL108" s="64"/>
      <c r="AM108" s="64"/>
      <c r="AN108" s="64"/>
    </row>
    <row r="109" spans="2:40" hidden="1" outlineLevel="1" x14ac:dyDescent="0.2">
      <c r="B109" t="s">
        <v>14</v>
      </c>
      <c r="S109" s="64"/>
      <c r="T109" s="64"/>
      <c r="U109" s="64"/>
      <c r="V109" s="64"/>
      <c r="W109" s="64"/>
      <c r="X109" s="64"/>
      <c r="Y109" s="64">
        <f>+SUM($D44:Y44)</f>
        <v>8631.8183408354143</v>
      </c>
      <c r="Z109" s="64">
        <f>+SUM($D44:Z44)</f>
        <v>17263.636681670829</v>
      </c>
      <c r="AA109" s="64">
        <f>+SUM($D44:AA44)</f>
        <v>25895.455022506241</v>
      </c>
      <c r="AB109" s="64">
        <f>+SUM($D44:AB44)</f>
        <v>34527.273363341657</v>
      </c>
      <c r="AC109" s="64">
        <f>+SUM($D44:AC44)</f>
        <v>43159.091704177074</v>
      </c>
      <c r="AD109" s="64"/>
      <c r="AE109" s="64"/>
      <c r="AF109" s="64"/>
      <c r="AG109" s="64"/>
      <c r="AH109" s="64"/>
      <c r="AI109" s="64"/>
      <c r="AJ109" s="64"/>
      <c r="AK109" s="64"/>
      <c r="AL109" s="64"/>
      <c r="AM109" s="64"/>
      <c r="AN109" s="64"/>
    </row>
    <row r="110" spans="2:40" hidden="1" outlineLevel="1" x14ac:dyDescent="0.2">
      <c r="B110" t="s">
        <v>15</v>
      </c>
      <c r="S110" s="64"/>
      <c r="T110" s="64"/>
      <c r="U110" s="64"/>
      <c r="V110" s="64"/>
      <c r="W110" s="64"/>
      <c r="X110" s="64"/>
      <c r="Y110" s="64"/>
      <c r="Z110" s="64">
        <f>+SUM($D45:Z45)</f>
        <v>9987.7034542056263</v>
      </c>
      <c r="AA110" s="64">
        <f>+SUM($D45:AA45)</f>
        <v>19975.406908411253</v>
      </c>
      <c r="AB110" s="64">
        <f>+SUM($D45:AB45)</f>
        <v>29963.110362616877</v>
      </c>
      <c r="AC110" s="64">
        <f>+SUM($D45:AC45)</f>
        <v>39950.813816822505</v>
      </c>
      <c r="AD110" s="64"/>
      <c r="AE110" s="64"/>
      <c r="AF110" s="64"/>
      <c r="AG110" s="64"/>
      <c r="AH110" s="64"/>
      <c r="AI110" s="64"/>
      <c r="AJ110" s="64"/>
      <c r="AK110" s="64"/>
      <c r="AL110" s="64"/>
      <c r="AM110" s="64"/>
      <c r="AN110" s="64"/>
    </row>
    <row r="111" spans="2:40" hidden="1" outlineLevel="1" x14ac:dyDescent="0.2">
      <c r="B111" t="s">
        <v>325</v>
      </c>
      <c r="S111" s="64"/>
      <c r="T111" s="64"/>
      <c r="U111" s="64"/>
      <c r="V111" s="64"/>
      <c r="W111" s="64"/>
      <c r="X111" s="64"/>
      <c r="Y111" s="64"/>
      <c r="Z111" s="64"/>
      <c r="AA111" s="64">
        <f>+SUM($D46:AA46)</f>
        <v>11493.869664156697</v>
      </c>
      <c r="AB111" s="64">
        <f>+SUM($D46:AB46)</f>
        <v>22987.739328313393</v>
      </c>
      <c r="AC111" s="64">
        <f>+SUM($D46:AC46)</f>
        <v>34481.608992470094</v>
      </c>
      <c r="AD111" s="64"/>
      <c r="AE111" s="64"/>
      <c r="AF111" s="64"/>
      <c r="AG111" s="64"/>
      <c r="AH111" s="64"/>
      <c r="AI111" s="64"/>
      <c r="AJ111" s="64"/>
      <c r="AK111" s="64"/>
      <c r="AL111" s="64"/>
      <c r="AM111" s="64"/>
      <c r="AN111" s="64"/>
    </row>
    <row r="112" spans="2:40" hidden="1" outlineLevel="1" x14ac:dyDescent="0.2">
      <c r="B112" t="s">
        <v>346</v>
      </c>
      <c r="S112" s="64"/>
      <c r="T112" s="64"/>
      <c r="U112" s="64"/>
      <c r="V112" s="64"/>
      <c r="W112" s="64"/>
      <c r="X112" s="64"/>
      <c r="Y112" s="64"/>
      <c r="Z112" s="64"/>
      <c r="AA112" s="64"/>
      <c r="AB112" s="64">
        <f>+SUM($D47:AB47)</f>
        <v>13157.75240850971</v>
      </c>
      <c r="AC112" s="64">
        <f>+SUM($D47:AC47)</f>
        <v>26315.50481701942</v>
      </c>
      <c r="AD112" s="64"/>
      <c r="AE112" s="64"/>
      <c r="AF112" s="64"/>
      <c r="AG112" s="64"/>
      <c r="AH112" s="64"/>
      <c r="AI112" s="64"/>
      <c r="AJ112" s="64"/>
      <c r="AK112" s="64"/>
      <c r="AL112" s="64"/>
      <c r="AM112" s="64"/>
      <c r="AN112" s="64"/>
    </row>
    <row r="113" spans="2:40" hidden="1" outlineLevel="1" x14ac:dyDescent="0.2">
      <c r="B113" t="s">
        <v>426</v>
      </c>
      <c r="S113" s="64"/>
      <c r="T113" s="64"/>
      <c r="U113" s="64"/>
      <c r="V113" s="64"/>
      <c r="W113" s="64"/>
      <c r="X113" s="64"/>
      <c r="Y113" s="64"/>
      <c r="Z113" s="64"/>
      <c r="AA113" s="64"/>
      <c r="AB113" s="64"/>
      <c r="AC113" s="64">
        <f>+SUM($D48:AC48)</f>
        <v>14985.757963542996</v>
      </c>
      <c r="AD113" s="64"/>
      <c r="AE113" s="64"/>
      <c r="AF113" s="64"/>
      <c r="AG113" s="64"/>
      <c r="AH113" s="64"/>
      <c r="AI113" s="64"/>
      <c r="AJ113" s="64"/>
      <c r="AK113" s="64"/>
      <c r="AL113" s="64"/>
      <c r="AM113" s="64"/>
      <c r="AN113" s="64"/>
    </row>
    <row r="114" spans="2:40" hidden="1" outlineLevel="1" x14ac:dyDescent="0.2"/>
    <row r="115" spans="2:40" hidden="1" outlineLevel="1" x14ac:dyDescent="0.2">
      <c r="B115" s="54" t="s">
        <v>389</v>
      </c>
    </row>
    <row r="116" spans="2:40" hidden="1" outlineLevel="1" x14ac:dyDescent="0.2">
      <c r="B116" t="s">
        <v>371</v>
      </c>
      <c r="E116" s="64">
        <f t="shared" ref="E116:AB116" si="47">+E62-E89</f>
        <v>810</v>
      </c>
      <c r="F116" s="64">
        <f t="shared" si="47"/>
        <v>648</v>
      </c>
      <c r="G116" s="64">
        <f t="shared" si="47"/>
        <v>486</v>
      </c>
      <c r="H116" s="64">
        <f t="shared" si="47"/>
        <v>324</v>
      </c>
      <c r="I116" s="64">
        <f t="shared" si="47"/>
        <v>162</v>
      </c>
      <c r="J116" s="64">
        <f t="shared" si="47"/>
        <v>0</v>
      </c>
      <c r="K116" s="64">
        <f t="shared" si="47"/>
        <v>0</v>
      </c>
      <c r="L116" s="64">
        <f t="shared" si="47"/>
        <v>0</v>
      </c>
      <c r="M116" s="64">
        <f t="shared" si="47"/>
        <v>0</v>
      </c>
      <c r="N116" s="64">
        <f t="shared" si="47"/>
        <v>0</v>
      </c>
      <c r="O116" s="64">
        <f t="shared" si="47"/>
        <v>0</v>
      </c>
      <c r="P116" s="64">
        <f t="shared" si="47"/>
        <v>0</v>
      </c>
      <c r="Q116" s="64">
        <f t="shared" si="47"/>
        <v>0</v>
      </c>
      <c r="R116" s="64">
        <f t="shared" si="47"/>
        <v>0</v>
      </c>
      <c r="S116" s="64">
        <f t="shared" si="47"/>
        <v>0</v>
      </c>
      <c r="T116" s="64">
        <f t="shared" si="47"/>
        <v>0</v>
      </c>
      <c r="U116" s="64">
        <f t="shared" si="47"/>
        <v>0</v>
      </c>
      <c r="V116" s="64">
        <f t="shared" si="47"/>
        <v>0</v>
      </c>
      <c r="W116" s="64">
        <f t="shared" si="47"/>
        <v>0</v>
      </c>
      <c r="X116" s="64">
        <f t="shared" si="47"/>
        <v>0</v>
      </c>
      <c r="Y116" s="64">
        <f t="shared" si="47"/>
        <v>0</v>
      </c>
      <c r="Z116" s="64">
        <f t="shared" si="47"/>
        <v>0</v>
      </c>
      <c r="AA116" s="64">
        <f t="shared" si="47"/>
        <v>0</v>
      </c>
      <c r="AB116" s="64">
        <f t="shared" si="47"/>
        <v>0</v>
      </c>
      <c r="AC116" s="64">
        <f t="shared" ref="AC116:AC134" si="48">+AC62-AC89</f>
        <v>0</v>
      </c>
    </row>
    <row r="117" spans="2:40" hidden="1" outlineLevel="1" x14ac:dyDescent="0.2">
      <c r="B117" t="s">
        <v>106</v>
      </c>
      <c r="F117" s="64">
        <f t="shared" ref="F117:AB117" si="49">+F63-F90</f>
        <v>1025.8333333333333</v>
      </c>
      <c r="G117" s="64">
        <f t="shared" si="49"/>
        <v>820.66666666666674</v>
      </c>
      <c r="H117" s="64">
        <f t="shared" si="49"/>
        <v>615.5</v>
      </c>
      <c r="I117" s="64">
        <f t="shared" si="49"/>
        <v>410.33333333333337</v>
      </c>
      <c r="J117" s="64">
        <f t="shared" si="49"/>
        <v>205.16666666666674</v>
      </c>
      <c r="K117" s="64">
        <f t="shared" si="49"/>
        <v>0</v>
      </c>
      <c r="L117" s="64">
        <f t="shared" si="49"/>
        <v>0</v>
      </c>
      <c r="M117" s="64">
        <f t="shared" si="49"/>
        <v>0</v>
      </c>
      <c r="N117" s="64">
        <f t="shared" si="49"/>
        <v>0</v>
      </c>
      <c r="O117" s="64">
        <f t="shared" si="49"/>
        <v>0</v>
      </c>
      <c r="P117" s="64">
        <f t="shared" si="49"/>
        <v>0</v>
      </c>
      <c r="Q117" s="64">
        <f t="shared" si="49"/>
        <v>0</v>
      </c>
      <c r="R117" s="64">
        <f t="shared" si="49"/>
        <v>0</v>
      </c>
      <c r="S117" s="64">
        <f t="shared" si="49"/>
        <v>0</v>
      </c>
      <c r="T117" s="64">
        <f t="shared" si="49"/>
        <v>0</v>
      </c>
      <c r="U117" s="64">
        <f t="shared" si="49"/>
        <v>0</v>
      </c>
      <c r="V117" s="64">
        <f t="shared" si="49"/>
        <v>0</v>
      </c>
      <c r="W117" s="64">
        <f t="shared" si="49"/>
        <v>0</v>
      </c>
      <c r="X117" s="64">
        <f t="shared" si="49"/>
        <v>0</v>
      </c>
      <c r="Y117" s="64">
        <f t="shared" si="49"/>
        <v>0</v>
      </c>
      <c r="Z117" s="64">
        <f t="shared" si="49"/>
        <v>0</v>
      </c>
      <c r="AA117" s="64">
        <f t="shared" si="49"/>
        <v>0</v>
      </c>
      <c r="AB117" s="64">
        <f t="shared" si="49"/>
        <v>0</v>
      </c>
      <c r="AC117" s="64">
        <f t="shared" si="48"/>
        <v>0</v>
      </c>
    </row>
    <row r="118" spans="2:40" hidden="1" outlineLevel="1" x14ac:dyDescent="0.2">
      <c r="B118" t="s">
        <v>107</v>
      </c>
      <c r="G118" s="64">
        <f t="shared" ref="G118:AB118" si="50">+G64-G91</f>
        <v>780</v>
      </c>
      <c r="H118" s="64">
        <f t="shared" si="50"/>
        <v>624</v>
      </c>
      <c r="I118" s="64">
        <f t="shared" si="50"/>
        <v>468</v>
      </c>
      <c r="J118" s="64">
        <f t="shared" si="50"/>
        <v>312</v>
      </c>
      <c r="K118" s="64">
        <f t="shared" si="50"/>
        <v>156</v>
      </c>
      <c r="L118" s="64">
        <f t="shared" si="50"/>
        <v>0</v>
      </c>
      <c r="M118" s="64">
        <f t="shared" si="50"/>
        <v>0</v>
      </c>
      <c r="N118" s="64">
        <f t="shared" si="50"/>
        <v>0</v>
      </c>
      <c r="O118" s="64">
        <f t="shared" si="50"/>
        <v>0</v>
      </c>
      <c r="P118" s="64">
        <f t="shared" si="50"/>
        <v>0</v>
      </c>
      <c r="Q118" s="64">
        <f t="shared" si="50"/>
        <v>0</v>
      </c>
      <c r="R118" s="64">
        <f t="shared" si="50"/>
        <v>0</v>
      </c>
      <c r="S118" s="64">
        <f t="shared" si="50"/>
        <v>0</v>
      </c>
      <c r="T118" s="64">
        <f t="shared" si="50"/>
        <v>0</v>
      </c>
      <c r="U118" s="64">
        <f t="shared" si="50"/>
        <v>0</v>
      </c>
      <c r="V118" s="64">
        <f t="shared" si="50"/>
        <v>0</v>
      </c>
      <c r="W118" s="64">
        <f t="shared" si="50"/>
        <v>0</v>
      </c>
      <c r="X118" s="64">
        <f t="shared" si="50"/>
        <v>0</v>
      </c>
      <c r="Y118" s="64">
        <f t="shared" si="50"/>
        <v>0</v>
      </c>
      <c r="Z118" s="64">
        <f t="shared" si="50"/>
        <v>0</v>
      </c>
      <c r="AA118" s="64">
        <f t="shared" si="50"/>
        <v>0</v>
      </c>
      <c r="AB118" s="64">
        <f t="shared" si="50"/>
        <v>0</v>
      </c>
      <c r="AC118" s="64">
        <f t="shared" si="48"/>
        <v>0</v>
      </c>
    </row>
    <row r="119" spans="2:40" hidden="1" outlineLevel="1" x14ac:dyDescent="0.2">
      <c r="B119" t="s">
        <v>0</v>
      </c>
      <c r="H119" s="64">
        <f t="shared" ref="H119:AB119" si="51">+H65-H92</f>
        <v>1067.5</v>
      </c>
      <c r="I119" s="64">
        <f t="shared" si="51"/>
        <v>854</v>
      </c>
      <c r="J119" s="64">
        <f t="shared" si="51"/>
        <v>640.5</v>
      </c>
      <c r="K119" s="64">
        <f t="shared" si="51"/>
        <v>427</v>
      </c>
      <c r="L119" s="64">
        <f t="shared" si="51"/>
        <v>213.5</v>
      </c>
      <c r="M119" s="64">
        <f t="shared" si="51"/>
        <v>0</v>
      </c>
      <c r="N119" s="64">
        <f t="shared" si="51"/>
        <v>0</v>
      </c>
      <c r="O119" s="64">
        <f t="shared" si="51"/>
        <v>0</v>
      </c>
      <c r="P119" s="64">
        <f t="shared" si="51"/>
        <v>0</v>
      </c>
      <c r="Q119" s="64">
        <f t="shared" si="51"/>
        <v>0</v>
      </c>
      <c r="R119" s="64">
        <f t="shared" si="51"/>
        <v>0</v>
      </c>
      <c r="S119" s="64">
        <f t="shared" si="51"/>
        <v>0</v>
      </c>
      <c r="T119" s="64">
        <f t="shared" si="51"/>
        <v>0</v>
      </c>
      <c r="U119" s="64">
        <f t="shared" si="51"/>
        <v>0</v>
      </c>
      <c r="V119" s="64">
        <f t="shared" si="51"/>
        <v>0</v>
      </c>
      <c r="W119" s="64">
        <f t="shared" si="51"/>
        <v>0</v>
      </c>
      <c r="X119" s="64">
        <f t="shared" si="51"/>
        <v>0</v>
      </c>
      <c r="Y119" s="64">
        <f t="shared" si="51"/>
        <v>0</v>
      </c>
      <c r="Z119" s="64">
        <f t="shared" si="51"/>
        <v>0</v>
      </c>
      <c r="AA119" s="64">
        <f t="shared" si="51"/>
        <v>0</v>
      </c>
      <c r="AB119" s="64">
        <f t="shared" si="51"/>
        <v>0</v>
      </c>
      <c r="AC119" s="64">
        <f t="shared" si="48"/>
        <v>0</v>
      </c>
    </row>
    <row r="120" spans="2:40" hidden="1" outlineLevel="1" x14ac:dyDescent="0.2">
      <c r="B120" t="s">
        <v>1</v>
      </c>
      <c r="I120" s="64">
        <f t="shared" ref="I120:AB120" si="52">+I66-I93</f>
        <v>1792.5</v>
      </c>
      <c r="J120" s="64">
        <f t="shared" si="52"/>
        <v>1434</v>
      </c>
      <c r="K120" s="64">
        <f t="shared" si="52"/>
        <v>1075.5</v>
      </c>
      <c r="L120" s="64">
        <f t="shared" si="52"/>
        <v>717</v>
      </c>
      <c r="M120" s="64">
        <f t="shared" si="52"/>
        <v>358.5</v>
      </c>
      <c r="N120" s="64">
        <f t="shared" si="52"/>
        <v>0</v>
      </c>
      <c r="O120" s="64">
        <f t="shared" si="52"/>
        <v>0</v>
      </c>
      <c r="P120" s="64">
        <f t="shared" si="52"/>
        <v>0</v>
      </c>
      <c r="Q120" s="64">
        <f t="shared" si="52"/>
        <v>0</v>
      </c>
      <c r="R120" s="64">
        <f t="shared" si="52"/>
        <v>0</v>
      </c>
      <c r="S120" s="64">
        <f t="shared" si="52"/>
        <v>0</v>
      </c>
      <c r="T120" s="64">
        <f t="shared" si="52"/>
        <v>0</v>
      </c>
      <c r="U120" s="64">
        <f t="shared" si="52"/>
        <v>0</v>
      </c>
      <c r="V120" s="64">
        <f t="shared" si="52"/>
        <v>0</v>
      </c>
      <c r="W120" s="64">
        <f t="shared" si="52"/>
        <v>0</v>
      </c>
      <c r="X120" s="64">
        <f t="shared" si="52"/>
        <v>0</v>
      </c>
      <c r="Y120" s="64">
        <f t="shared" si="52"/>
        <v>0</v>
      </c>
      <c r="Z120" s="64">
        <f t="shared" si="52"/>
        <v>0</v>
      </c>
      <c r="AA120" s="64">
        <f t="shared" si="52"/>
        <v>0</v>
      </c>
      <c r="AB120" s="64">
        <f t="shared" si="52"/>
        <v>0</v>
      </c>
      <c r="AC120" s="64">
        <f t="shared" si="48"/>
        <v>0</v>
      </c>
      <c r="AD120" s="64"/>
    </row>
    <row r="121" spans="2:40" hidden="1" outlineLevel="1" x14ac:dyDescent="0.2">
      <c r="B121" t="s">
        <v>2</v>
      </c>
      <c r="J121" s="64">
        <f t="shared" ref="J121:AB121" si="53">+J67-J94</f>
        <v>2263.3333333333335</v>
      </c>
      <c r="K121" s="64">
        <f t="shared" si="53"/>
        <v>1810.6666666666665</v>
      </c>
      <c r="L121" s="64">
        <f t="shared" si="53"/>
        <v>1358</v>
      </c>
      <c r="M121" s="64">
        <f t="shared" si="53"/>
        <v>905.33333333333326</v>
      </c>
      <c r="N121" s="64">
        <f t="shared" si="53"/>
        <v>452.66666666666652</v>
      </c>
      <c r="O121" s="64">
        <f t="shared" si="53"/>
        <v>64.666666666666515</v>
      </c>
      <c r="P121" s="64">
        <f t="shared" si="53"/>
        <v>0</v>
      </c>
      <c r="Q121" s="64">
        <f t="shared" si="53"/>
        <v>0</v>
      </c>
      <c r="R121" s="64">
        <f t="shared" si="53"/>
        <v>0</v>
      </c>
      <c r="S121" s="64">
        <f t="shared" si="53"/>
        <v>0</v>
      </c>
      <c r="T121" s="64">
        <f t="shared" si="53"/>
        <v>0</v>
      </c>
      <c r="U121" s="64">
        <f t="shared" si="53"/>
        <v>0</v>
      </c>
      <c r="V121" s="64">
        <f t="shared" si="53"/>
        <v>0</v>
      </c>
      <c r="W121" s="64">
        <f t="shared" si="53"/>
        <v>0</v>
      </c>
      <c r="X121" s="64">
        <f t="shared" si="53"/>
        <v>0</v>
      </c>
      <c r="Y121" s="64">
        <f t="shared" si="53"/>
        <v>0</v>
      </c>
      <c r="Z121" s="64">
        <f t="shared" si="53"/>
        <v>0</v>
      </c>
      <c r="AA121" s="64">
        <f t="shared" si="53"/>
        <v>0</v>
      </c>
      <c r="AB121" s="64">
        <f t="shared" si="53"/>
        <v>0</v>
      </c>
      <c r="AC121" s="64">
        <f t="shared" si="48"/>
        <v>0</v>
      </c>
      <c r="AD121" s="64"/>
      <c r="AE121" s="64"/>
    </row>
    <row r="122" spans="2:40" hidden="1" outlineLevel="1" x14ac:dyDescent="0.2">
      <c r="B122" t="s">
        <v>3</v>
      </c>
      <c r="K122" s="64">
        <f t="shared" ref="K122:AB122" si="54">+K68-K95</f>
        <v>4526.666666666667</v>
      </c>
      <c r="L122" s="64">
        <f t="shared" si="54"/>
        <v>3621.333333333333</v>
      </c>
      <c r="M122" s="64">
        <f t="shared" si="54"/>
        <v>2716</v>
      </c>
      <c r="N122" s="64">
        <f t="shared" si="54"/>
        <v>1810.6666666666665</v>
      </c>
      <c r="O122" s="64">
        <f t="shared" si="54"/>
        <v>1034.6666666666661</v>
      </c>
      <c r="P122" s="64">
        <f t="shared" si="54"/>
        <v>310.39999999999964</v>
      </c>
      <c r="Q122" s="64">
        <f t="shared" si="54"/>
        <v>0</v>
      </c>
      <c r="R122" s="64">
        <f t="shared" si="54"/>
        <v>0</v>
      </c>
      <c r="S122" s="64">
        <f t="shared" si="54"/>
        <v>0</v>
      </c>
      <c r="T122" s="64">
        <f t="shared" si="54"/>
        <v>0</v>
      </c>
      <c r="U122" s="64">
        <f t="shared" si="54"/>
        <v>0</v>
      </c>
      <c r="V122" s="64">
        <f t="shared" si="54"/>
        <v>0</v>
      </c>
      <c r="W122" s="64">
        <f t="shared" si="54"/>
        <v>0</v>
      </c>
      <c r="X122" s="64">
        <f t="shared" si="54"/>
        <v>0</v>
      </c>
      <c r="Y122" s="64">
        <f t="shared" si="54"/>
        <v>0</v>
      </c>
      <c r="Z122" s="64">
        <f t="shared" si="54"/>
        <v>0</v>
      </c>
      <c r="AA122" s="64">
        <f t="shared" si="54"/>
        <v>0</v>
      </c>
      <c r="AB122" s="64">
        <f t="shared" si="54"/>
        <v>0</v>
      </c>
      <c r="AC122" s="64">
        <f t="shared" si="48"/>
        <v>0</v>
      </c>
      <c r="AD122" s="64"/>
      <c r="AE122" s="64"/>
      <c r="AF122" s="64"/>
    </row>
    <row r="123" spans="2:40" hidden="1" outlineLevel="1" x14ac:dyDescent="0.2">
      <c r="B123" t="s">
        <v>4</v>
      </c>
      <c r="L123" s="64">
        <f t="shared" ref="L123:AB123" si="55">+L69-L96</f>
        <v>7500</v>
      </c>
      <c r="M123" s="64">
        <f t="shared" si="55"/>
        <v>6000</v>
      </c>
      <c r="N123" s="64">
        <f t="shared" si="55"/>
        <v>4500</v>
      </c>
      <c r="O123" s="64">
        <f t="shared" si="55"/>
        <v>3214.2857142857138</v>
      </c>
      <c r="P123" s="64">
        <f t="shared" si="55"/>
        <v>2014.2857142857138</v>
      </c>
      <c r="Q123" s="64">
        <f t="shared" si="55"/>
        <v>889.28571428571377</v>
      </c>
      <c r="R123" s="64">
        <f t="shared" si="55"/>
        <v>0</v>
      </c>
      <c r="S123" s="64">
        <f t="shared" si="55"/>
        <v>0</v>
      </c>
      <c r="T123" s="64">
        <f t="shared" si="55"/>
        <v>0</v>
      </c>
      <c r="U123" s="64">
        <f t="shared" si="55"/>
        <v>0</v>
      </c>
      <c r="V123" s="64">
        <f t="shared" si="55"/>
        <v>0</v>
      </c>
      <c r="W123" s="64">
        <f t="shared" si="55"/>
        <v>0</v>
      </c>
      <c r="X123" s="64">
        <f t="shared" si="55"/>
        <v>0</v>
      </c>
      <c r="Y123" s="64">
        <f t="shared" si="55"/>
        <v>0</v>
      </c>
      <c r="Z123" s="64">
        <f t="shared" si="55"/>
        <v>0</v>
      </c>
      <c r="AA123" s="64">
        <f t="shared" si="55"/>
        <v>0</v>
      </c>
      <c r="AB123" s="64">
        <f t="shared" si="55"/>
        <v>0</v>
      </c>
      <c r="AC123" s="64">
        <f t="shared" si="48"/>
        <v>0</v>
      </c>
      <c r="AD123" s="64"/>
      <c r="AE123" s="64"/>
      <c r="AF123" s="64"/>
      <c r="AG123" s="64"/>
    </row>
    <row r="124" spans="2:40" hidden="1" outlineLevel="1" x14ac:dyDescent="0.2">
      <c r="B124" t="s">
        <v>5</v>
      </c>
      <c r="M124" s="64">
        <f t="shared" ref="M124:AB124" si="56">+M70-M97</f>
        <v>9618.3333333333339</v>
      </c>
      <c r="N124" s="64">
        <f t="shared" si="56"/>
        <v>7694.6666666666661</v>
      </c>
      <c r="O124" s="64">
        <f t="shared" si="56"/>
        <v>6045.8095238095239</v>
      </c>
      <c r="P124" s="64">
        <f t="shared" si="56"/>
        <v>4506.8761904761905</v>
      </c>
      <c r="Q124" s="64">
        <f t="shared" si="56"/>
        <v>3064.1261904761905</v>
      </c>
      <c r="R124" s="64">
        <f t="shared" si="56"/>
        <v>1621.3761904761905</v>
      </c>
      <c r="S124" s="64">
        <f t="shared" si="56"/>
        <v>178.62619047619046</v>
      </c>
      <c r="T124" s="64">
        <f t="shared" si="56"/>
        <v>0</v>
      </c>
      <c r="U124" s="64">
        <f t="shared" si="56"/>
        <v>0</v>
      </c>
      <c r="V124" s="64">
        <f t="shared" si="56"/>
        <v>0</v>
      </c>
      <c r="W124" s="64">
        <f t="shared" si="56"/>
        <v>0</v>
      </c>
      <c r="X124" s="64">
        <f t="shared" si="56"/>
        <v>0</v>
      </c>
      <c r="Y124" s="64">
        <f t="shared" si="56"/>
        <v>0</v>
      </c>
      <c r="Z124" s="64">
        <f t="shared" si="56"/>
        <v>0</v>
      </c>
      <c r="AA124" s="64">
        <f t="shared" si="56"/>
        <v>0</v>
      </c>
      <c r="AB124" s="64">
        <f t="shared" si="56"/>
        <v>0</v>
      </c>
      <c r="AC124" s="64">
        <f t="shared" si="48"/>
        <v>0</v>
      </c>
      <c r="AD124" s="64"/>
      <c r="AE124" s="64"/>
      <c r="AF124" s="64"/>
      <c r="AG124" s="64"/>
      <c r="AH124" s="64"/>
    </row>
    <row r="125" spans="2:40" hidden="1" outlineLevel="1" x14ac:dyDescent="0.2">
      <c r="B125" t="s">
        <v>6</v>
      </c>
      <c r="N125" s="64">
        <f t="shared" ref="N125:AB125" si="57">+N71-N98</f>
        <v>11563.333333333334</v>
      </c>
      <c r="O125" s="64">
        <f t="shared" si="57"/>
        <v>9581.0476190476184</v>
      </c>
      <c r="P125" s="64">
        <f t="shared" si="57"/>
        <v>7730.9142857142861</v>
      </c>
      <c r="Q125" s="64">
        <f t="shared" si="57"/>
        <v>5996.4142857142861</v>
      </c>
      <c r="R125" s="64">
        <f t="shared" si="57"/>
        <v>4261.914285714287</v>
      </c>
      <c r="S125" s="64">
        <f t="shared" si="57"/>
        <v>2527.414285714287</v>
      </c>
      <c r="T125" s="64">
        <f t="shared" si="57"/>
        <v>792.91428571428696</v>
      </c>
      <c r="U125" s="64">
        <f t="shared" si="57"/>
        <v>0</v>
      </c>
      <c r="V125" s="64">
        <f t="shared" si="57"/>
        <v>0</v>
      </c>
      <c r="W125" s="64">
        <f t="shared" si="57"/>
        <v>0</v>
      </c>
      <c r="X125" s="64">
        <f t="shared" si="57"/>
        <v>0</v>
      </c>
      <c r="Y125" s="64">
        <f t="shared" si="57"/>
        <v>0</v>
      </c>
      <c r="Z125" s="64">
        <f t="shared" si="57"/>
        <v>0</v>
      </c>
      <c r="AA125" s="64">
        <f t="shared" si="57"/>
        <v>0</v>
      </c>
      <c r="AB125" s="64">
        <f t="shared" si="57"/>
        <v>0</v>
      </c>
      <c r="AC125" s="64">
        <f t="shared" si="48"/>
        <v>0</v>
      </c>
      <c r="AD125" s="64"/>
      <c r="AE125" s="64"/>
      <c r="AF125" s="64"/>
      <c r="AG125" s="64"/>
      <c r="AH125" s="64"/>
      <c r="AI125" s="64"/>
    </row>
    <row r="126" spans="2:40" hidden="1" outlineLevel="1" x14ac:dyDescent="0.2">
      <c r="B126" t="s">
        <v>321</v>
      </c>
      <c r="O126" s="64">
        <f t="shared" ref="O126:AB126" si="58">+O72-O99</f>
        <v>11519.142857142857</v>
      </c>
      <c r="P126" s="64">
        <f t="shared" si="58"/>
        <v>9727.2761904761901</v>
      </c>
      <c r="Q126" s="64">
        <f t="shared" si="58"/>
        <v>8047.4011904761901</v>
      </c>
      <c r="R126" s="64">
        <f t="shared" si="58"/>
        <v>6367.5261904761901</v>
      </c>
      <c r="S126" s="64">
        <f t="shared" si="58"/>
        <v>4687.6511904761901</v>
      </c>
      <c r="T126" s="64">
        <f t="shared" si="58"/>
        <v>3007.7761904761901</v>
      </c>
      <c r="U126" s="64">
        <f t="shared" si="58"/>
        <v>1327.9011904761901</v>
      </c>
      <c r="V126" s="64">
        <f t="shared" si="58"/>
        <v>0</v>
      </c>
      <c r="W126" s="64">
        <f t="shared" si="58"/>
        <v>0</v>
      </c>
      <c r="X126" s="64">
        <f t="shared" si="58"/>
        <v>0</v>
      </c>
      <c r="Y126" s="64">
        <f t="shared" si="58"/>
        <v>0</v>
      </c>
      <c r="Z126" s="64">
        <f t="shared" si="58"/>
        <v>0</v>
      </c>
      <c r="AA126" s="64">
        <f t="shared" si="58"/>
        <v>0</v>
      </c>
      <c r="AB126" s="64">
        <f t="shared" si="58"/>
        <v>0</v>
      </c>
      <c r="AC126" s="64">
        <f t="shared" si="48"/>
        <v>0</v>
      </c>
      <c r="AD126" s="64"/>
      <c r="AE126" s="64"/>
      <c r="AF126" s="64"/>
      <c r="AG126" s="64"/>
      <c r="AH126" s="64"/>
      <c r="AI126" s="64"/>
      <c r="AJ126" s="64"/>
    </row>
    <row r="127" spans="2:40" hidden="1" outlineLevel="1" x14ac:dyDescent="0.2">
      <c r="B127" t="s">
        <v>306</v>
      </c>
      <c r="P127" s="64">
        <f t="shared" ref="P127:AB127" si="59">+P73-P100</f>
        <v>14073.8</v>
      </c>
      <c r="Q127" s="64">
        <f t="shared" si="59"/>
        <v>12043.924999999999</v>
      </c>
      <c r="R127" s="64">
        <f t="shared" si="59"/>
        <v>10014.049999999999</v>
      </c>
      <c r="S127" s="64">
        <f t="shared" si="59"/>
        <v>7984.1749999999993</v>
      </c>
      <c r="T127" s="64">
        <f t="shared" si="59"/>
        <v>5954.2999999999993</v>
      </c>
      <c r="U127" s="64">
        <f t="shared" si="59"/>
        <v>3924.4249999999993</v>
      </c>
      <c r="V127" s="64">
        <f t="shared" si="59"/>
        <v>1894.5499999999993</v>
      </c>
      <c r="W127" s="64">
        <f t="shared" si="59"/>
        <v>0</v>
      </c>
      <c r="X127" s="64">
        <f t="shared" si="59"/>
        <v>0</v>
      </c>
      <c r="Y127" s="64">
        <f t="shared" si="59"/>
        <v>0</v>
      </c>
      <c r="Z127" s="64">
        <f t="shared" si="59"/>
        <v>0</v>
      </c>
      <c r="AA127" s="64">
        <f t="shared" si="59"/>
        <v>0</v>
      </c>
      <c r="AB127" s="64">
        <f t="shared" si="59"/>
        <v>0</v>
      </c>
      <c r="AC127" s="64">
        <f t="shared" si="48"/>
        <v>0</v>
      </c>
      <c r="AD127" s="64"/>
      <c r="AE127" s="64"/>
      <c r="AF127" s="64"/>
      <c r="AG127" s="64"/>
      <c r="AH127" s="64"/>
      <c r="AI127" s="64"/>
      <c r="AJ127" s="64"/>
      <c r="AK127" s="64"/>
    </row>
    <row r="128" spans="2:40" hidden="1" outlineLevel="1" x14ac:dyDescent="0.2">
      <c r="B128" t="s">
        <v>357</v>
      </c>
      <c r="Q128" s="64">
        <f t="shared" ref="Q128:AB128" si="60">+Q74-Q101</f>
        <v>22759.625</v>
      </c>
      <c r="R128" s="64">
        <f t="shared" si="60"/>
        <v>19508.25</v>
      </c>
      <c r="S128" s="64">
        <f t="shared" si="60"/>
        <v>16256.875</v>
      </c>
      <c r="T128" s="64">
        <f t="shared" si="60"/>
        <v>13005.5</v>
      </c>
      <c r="U128" s="64">
        <f t="shared" si="60"/>
        <v>9754.125</v>
      </c>
      <c r="V128" s="64">
        <f t="shared" si="60"/>
        <v>6502.75</v>
      </c>
      <c r="W128" s="64">
        <f t="shared" si="60"/>
        <v>3251.375</v>
      </c>
      <c r="X128" s="64">
        <f t="shared" si="60"/>
        <v>0</v>
      </c>
      <c r="Y128" s="64">
        <f t="shared" si="60"/>
        <v>0</v>
      </c>
      <c r="Z128" s="64">
        <f t="shared" si="60"/>
        <v>0</v>
      </c>
      <c r="AA128" s="64">
        <f t="shared" si="60"/>
        <v>0</v>
      </c>
      <c r="AB128" s="64">
        <f t="shared" si="60"/>
        <v>0</v>
      </c>
      <c r="AC128" s="64">
        <f t="shared" si="48"/>
        <v>0</v>
      </c>
      <c r="AD128" s="64"/>
      <c r="AE128" s="64"/>
      <c r="AF128" s="64"/>
      <c r="AG128" s="64"/>
      <c r="AH128" s="64"/>
      <c r="AI128" s="64"/>
      <c r="AJ128" s="64"/>
      <c r="AK128" s="64"/>
      <c r="AL128" s="64"/>
    </row>
    <row r="129" spans="2:40" hidden="1" outlineLevel="1" x14ac:dyDescent="0.2">
      <c r="B129" t="s">
        <v>7</v>
      </c>
      <c r="R129" s="64">
        <f t="shared" ref="R129:AB129" si="61">+R75-R102</f>
        <v>29904.903625833329</v>
      </c>
      <c r="S129" s="64">
        <f t="shared" si="61"/>
        <v>25632.774536428569</v>
      </c>
      <c r="T129" s="64">
        <f t="shared" si="61"/>
        <v>21360.64544702381</v>
      </c>
      <c r="U129" s="64">
        <f t="shared" si="61"/>
        <v>17088.516357619046</v>
      </c>
      <c r="V129" s="64">
        <f t="shared" si="61"/>
        <v>12816.387268214283</v>
      </c>
      <c r="W129" s="64">
        <f t="shared" si="61"/>
        <v>8544.2581788095194</v>
      </c>
      <c r="X129" s="64">
        <f t="shared" si="61"/>
        <v>4272.1290894047561</v>
      </c>
      <c r="Y129" s="64">
        <f t="shared" si="61"/>
        <v>0</v>
      </c>
      <c r="Z129" s="64">
        <f t="shared" si="61"/>
        <v>0</v>
      </c>
      <c r="AA129" s="64">
        <f t="shared" si="61"/>
        <v>0</v>
      </c>
      <c r="AB129" s="64">
        <f t="shared" si="61"/>
        <v>0</v>
      </c>
      <c r="AC129" s="64">
        <f t="shared" si="48"/>
        <v>0</v>
      </c>
      <c r="AD129" s="64"/>
      <c r="AE129" s="64"/>
      <c r="AF129" s="64"/>
      <c r="AG129" s="64"/>
      <c r="AH129" s="64"/>
      <c r="AI129" s="64"/>
      <c r="AJ129" s="64"/>
      <c r="AK129" s="64"/>
      <c r="AL129" s="64"/>
      <c r="AM129" s="64"/>
    </row>
    <row r="130" spans="2:40" hidden="1" outlineLevel="1" x14ac:dyDescent="0.2">
      <c r="B130" t="s">
        <v>8</v>
      </c>
      <c r="S130" s="64">
        <f t="shared" ref="S130:AB130" si="62">+S76-S103</f>
        <v>34145.948402290371</v>
      </c>
      <c r="T130" s="64">
        <f t="shared" si="62"/>
        <v>29267.955773391746</v>
      </c>
      <c r="U130" s="64">
        <f t="shared" si="62"/>
        <v>24389.963144493122</v>
      </c>
      <c r="V130" s="64">
        <f t="shared" si="62"/>
        <v>19511.970515594498</v>
      </c>
      <c r="W130" s="64">
        <f t="shared" si="62"/>
        <v>14633.977886695873</v>
      </c>
      <c r="X130" s="64">
        <f t="shared" si="62"/>
        <v>9755.9852577972488</v>
      </c>
      <c r="Y130" s="64">
        <f t="shared" si="62"/>
        <v>4877.9926288986244</v>
      </c>
      <c r="Z130" s="64">
        <f t="shared" si="62"/>
        <v>0</v>
      </c>
      <c r="AA130" s="64">
        <f t="shared" si="62"/>
        <v>0</v>
      </c>
      <c r="AB130" s="64">
        <f t="shared" si="62"/>
        <v>0</v>
      </c>
      <c r="AC130" s="64">
        <f t="shared" si="48"/>
        <v>0</v>
      </c>
      <c r="AD130" s="64"/>
      <c r="AE130" s="64"/>
      <c r="AF130" s="64"/>
      <c r="AG130" s="64"/>
      <c r="AH130" s="64"/>
      <c r="AI130" s="64"/>
      <c r="AJ130" s="64"/>
      <c r="AK130" s="64"/>
      <c r="AL130" s="64"/>
      <c r="AM130" s="64"/>
      <c r="AN130" s="64"/>
    </row>
    <row r="131" spans="2:40" hidden="1" outlineLevel="1" x14ac:dyDescent="0.2">
      <c r="B131" t="s">
        <v>9</v>
      </c>
      <c r="S131" s="64"/>
      <c r="T131" s="64">
        <f t="shared" ref="T131:AB131" si="63">+T77-T104</f>
        <v>34444.614521913987</v>
      </c>
      <c r="U131" s="64">
        <f t="shared" si="63"/>
        <v>29523.955304497707</v>
      </c>
      <c r="V131" s="64">
        <f t="shared" si="63"/>
        <v>24603.29608708142</v>
      </c>
      <c r="W131" s="64">
        <f t="shared" si="63"/>
        <v>19682.636869665137</v>
      </c>
      <c r="X131" s="64">
        <f t="shared" si="63"/>
        <v>14761.977652248854</v>
      </c>
      <c r="Y131" s="64">
        <f t="shared" si="63"/>
        <v>9841.3184348325703</v>
      </c>
      <c r="Z131" s="64">
        <f t="shared" si="63"/>
        <v>4920.659217416287</v>
      </c>
      <c r="AA131" s="64">
        <f t="shared" si="63"/>
        <v>0</v>
      </c>
      <c r="AB131" s="64">
        <f t="shared" si="63"/>
        <v>0</v>
      </c>
      <c r="AC131" s="64">
        <f t="shared" si="48"/>
        <v>0</v>
      </c>
      <c r="AD131" s="64"/>
      <c r="AE131" s="64"/>
      <c r="AF131" s="64"/>
      <c r="AG131" s="64"/>
      <c r="AH131" s="64"/>
      <c r="AI131" s="64"/>
      <c r="AJ131" s="64"/>
      <c r="AK131" s="64"/>
      <c r="AL131" s="64"/>
      <c r="AM131" s="64"/>
      <c r="AN131" s="64"/>
    </row>
    <row r="132" spans="2:40" hidden="1" outlineLevel="1" x14ac:dyDescent="0.2">
      <c r="B132" t="s">
        <v>10</v>
      </c>
      <c r="S132" s="64"/>
      <c r="T132" s="64"/>
      <c r="U132" s="64">
        <f t="shared" ref="U132:AB132" si="64">+U78-U105</f>
        <v>37379.598554887358</v>
      </c>
      <c r="V132" s="64">
        <f t="shared" si="64"/>
        <v>32039.65590418916</v>
      </c>
      <c r="W132" s="64">
        <f t="shared" si="64"/>
        <v>26699.713253490969</v>
      </c>
      <c r="X132" s="64">
        <f t="shared" si="64"/>
        <v>21359.770602792774</v>
      </c>
      <c r="Y132" s="64">
        <f t="shared" si="64"/>
        <v>16019.82795209458</v>
      </c>
      <c r="Z132" s="64">
        <f t="shared" si="64"/>
        <v>10679.885301396385</v>
      </c>
      <c r="AA132" s="64">
        <f t="shared" si="64"/>
        <v>5339.9426506981908</v>
      </c>
      <c r="AB132" s="64">
        <f t="shared" si="64"/>
        <v>0</v>
      </c>
      <c r="AC132" s="64">
        <f t="shared" si="48"/>
        <v>0</v>
      </c>
      <c r="AD132" s="64"/>
      <c r="AE132" s="64"/>
      <c r="AF132" s="64"/>
      <c r="AG132" s="64"/>
      <c r="AH132" s="64"/>
      <c r="AI132" s="64"/>
      <c r="AJ132" s="64"/>
      <c r="AK132" s="64"/>
      <c r="AL132" s="64"/>
      <c r="AM132" s="64"/>
      <c r="AN132" s="64"/>
    </row>
    <row r="133" spans="2:40" hidden="1" outlineLevel="1" x14ac:dyDescent="0.2">
      <c r="B133" t="s">
        <v>11</v>
      </c>
      <c r="S133" s="64"/>
      <c r="T133" s="64"/>
      <c r="U133" s="64"/>
      <c r="V133" s="64">
        <f t="shared" ref="V133:AB133" si="65">+V79-V106</f>
        <v>42097.100959605181</v>
      </c>
      <c r="W133" s="64">
        <f t="shared" si="65"/>
        <v>36083.229393947302</v>
      </c>
      <c r="X133" s="64">
        <f t="shared" si="65"/>
        <v>30069.357828289416</v>
      </c>
      <c r="Y133" s="64">
        <f t="shared" si="65"/>
        <v>24055.486262631533</v>
      </c>
      <c r="Z133" s="64">
        <f t="shared" si="65"/>
        <v>18041.614696973651</v>
      </c>
      <c r="AA133" s="64">
        <f t="shared" si="65"/>
        <v>12027.743131315765</v>
      </c>
      <c r="AB133" s="64">
        <f t="shared" si="65"/>
        <v>6013.8715656578788</v>
      </c>
      <c r="AC133" s="64">
        <f t="shared" si="48"/>
        <v>0</v>
      </c>
      <c r="AD133" s="64"/>
      <c r="AE133" s="64"/>
      <c r="AF133" s="64"/>
      <c r="AG133" s="64"/>
      <c r="AH133" s="64"/>
      <c r="AI133" s="64"/>
      <c r="AJ133" s="64"/>
      <c r="AK133" s="64"/>
      <c r="AL133" s="64"/>
      <c r="AM133" s="64"/>
      <c r="AN133" s="64"/>
    </row>
    <row r="134" spans="2:40" hidden="1" outlineLevel="1" x14ac:dyDescent="0.2">
      <c r="B134" t="s">
        <v>12</v>
      </c>
      <c r="S134" s="64"/>
      <c r="T134" s="64"/>
      <c r="U134" s="64"/>
      <c r="V134" s="64"/>
      <c r="W134" s="64">
        <f t="shared" ref="W134:AB134" si="66">+W80-W107</f>
        <v>46971.186476334129</v>
      </c>
      <c r="X134" s="64">
        <f t="shared" si="66"/>
        <v>40261.016979714972</v>
      </c>
      <c r="Y134" s="64">
        <f t="shared" si="66"/>
        <v>33550.847483095808</v>
      </c>
      <c r="Z134" s="64">
        <f t="shared" si="66"/>
        <v>26840.677986476647</v>
      </c>
      <c r="AA134" s="64">
        <f t="shared" si="66"/>
        <v>20130.508489857486</v>
      </c>
      <c r="AB134" s="64">
        <f t="shared" si="66"/>
        <v>13420.338993238322</v>
      </c>
      <c r="AC134" s="64">
        <f t="shared" si="48"/>
        <v>6710.1694966191571</v>
      </c>
      <c r="AD134" s="64"/>
      <c r="AE134" s="64"/>
      <c r="AF134" s="64"/>
      <c r="AG134" s="64"/>
      <c r="AH134" s="64"/>
      <c r="AI134" s="64"/>
      <c r="AJ134" s="64"/>
      <c r="AK134" s="64"/>
      <c r="AL134" s="64"/>
      <c r="AM134" s="64"/>
      <c r="AN134" s="64"/>
    </row>
    <row r="135" spans="2:40" hidden="1" outlineLevel="1" x14ac:dyDescent="0.2">
      <c r="B135" t="s">
        <v>13</v>
      </c>
      <c r="S135" s="64"/>
      <c r="T135" s="64"/>
      <c r="U135" s="64"/>
      <c r="V135" s="64"/>
      <c r="W135" s="64"/>
      <c r="X135" s="64">
        <f t="shared" ref="X135:AC135" si="67">+X81-X108</f>
        <v>51925.871873363132</v>
      </c>
      <c r="Y135" s="64">
        <f t="shared" si="67"/>
        <v>44507.890177168403</v>
      </c>
      <c r="Z135" s="64">
        <f t="shared" si="67"/>
        <v>37089.908480973667</v>
      </c>
      <c r="AA135" s="64">
        <f t="shared" si="67"/>
        <v>29671.926784778934</v>
      </c>
      <c r="AB135" s="64">
        <f t="shared" si="67"/>
        <v>22253.945088584202</v>
      </c>
      <c r="AC135" s="64">
        <f t="shared" si="67"/>
        <v>14835.963392389465</v>
      </c>
      <c r="AD135" s="64"/>
      <c r="AE135" s="64"/>
      <c r="AF135" s="64"/>
      <c r="AG135" s="64"/>
      <c r="AH135" s="64"/>
      <c r="AI135" s="64"/>
      <c r="AJ135" s="64"/>
      <c r="AK135" s="64"/>
      <c r="AL135" s="64"/>
      <c r="AM135" s="64"/>
      <c r="AN135" s="64"/>
    </row>
    <row r="136" spans="2:40" hidden="1" outlineLevel="1" x14ac:dyDescent="0.2">
      <c r="B136" t="s">
        <v>14</v>
      </c>
      <c r="S136" s="64"/>
      <c r="T136" s="64"/>
      <c r="U136" s="64"/>
      <c r="V136" s="64"/>
      <c r="W136" s="64"/>
      <c r="X136" s="64"/>
      <c r="Y136" s="64">
        <f>+Y82-Y109</f>
        <v>60422.728385847899</v>
      </c>
      <c r="Z136" s="64">
        <f>+Z82-Z109</f>
        <v>51790.910045012482</v>
      </c>
      <c r="AA136" s="64">
        <f>+AA82-AA109</f>
        <v>43159.091704177074</v>
      </c>
      <c r="AB136" s="64">
        <f>+AB82-AB109</f>
        <v>34527.273363341657</v>
      </c>
      <c r="AC136" s="64">
        <f>+AC82-AC109</f>
        <v>25895.455022506241</v>
      </c>
      <c r="AD136" s="64"/>
      <c r="AE136" s="64"/>
      <c r="AF136" s="64"/>
      <c r="AG136" s="64"/>
      <c r="AH136" s="64"/>
      <c r="AI136" s="64"/>
      <c r="AJ136" s="64"/>
      <c r="AK136" s="64"/>
      <c r="AL136" s="64"/>
      <c r="AM136" s="64"/>
      <c r="AN136" s="64"/>
    </row>
    <row r="137" spans="2:40" hidden="1" outlineLevel="1" x14ac:dyDescent="0.2">
      <c r="B137" t="s">
        <v>15</v>
      </c>
      <c r="S137" s="64"/>
      <c r="T137" s="64"/>
      <c r="U137" s="64"/>
      <c r="V137" s="64"/>
      <c r="W137" s="64"/>
      <c r="X137" s="64"/>
      <c r="Y137" s="64"/>
      <c r="Z137" s="64">
        <f>+Z83-Z110</f>
        <v>69913.924179439389</v>
      </c>
      <c r="AA137" s="64">
        <f>+AA83-AA110</f>
        <v>59926.220725233754</v>
      </c>
      <c r="AB137" s="64">
        <f>+AB83-AB110</f>
        <v>49938.517271028133</v>
      </c>
      <c r="AC137" s="64">
        <f>+AC83-AC110</f>
        <v>39950.813816822505</v>
      </c>
      <c r="AD137" s="64"/>
      <c r="AE137" s="64"/>
      <c r="AF137" s="64"/>
      <c r="AG137" s="64"/>
      <c r="AH137" s="64"/>
      <c r="AI137" s="64"/>
      <c r="AJ137" s="64"/>
      <c r="AK137" s="64"/>
      <c r="AL137" s="64"/>
      <c r="AM137" s="64"/>
      <c r="AN137" s="64"/>
    </row>
    <row r="138" spans="2:40" hidden="1" outlineLevel="1" x14ac:dyDescent="0.2">
      <c r="B138" t="s">
        <v>325</v>
      </c>
      <c r="S138" s="64"/>
      <c r="T138" s="64"/>
      <c r="U138" s="64"/>
      <c r="V138" s="64"/>
      <c r="W138" s="64"/>
      <c r="X138" s="64"/>
      <c r="Y138" s="64"/>
      <c r="Z138" s="64"/>
      <c r="AA138" s="64">
        <f>+AA84-AA111</f>
        <v>80457.08764909688</v>
      </c>
      <c r="AB138" s="64">
        <f>+AB84-AB111</f>
        <v>68963.217984940187</v>
      </c>
      <c r="AC138" s="64">
        <f>+AC84-AC111</f>
        <v>57469.34832078348</v>
      </c>
      <c r="AD138" s="64"/>
      <c r="AE138" s="64"/>
      <c r="AF138" s="64"/>
      <c r="AG138" s="64"/>
      <c r="AH138" s="64"/>
      <c r="AI138" s="64"/>
      <c r="AJ138" s="64"/>
      <c r="AK138" s="64"/>
      <c r="AL138" s="64"/>
      <c r="AM138" s="64"/>
      <c r="AN138" s="64"/>
    </row>
    <row r="139" spans="2:40" hidden="1" outlineLevel="1" x14ac:dyDescent="0.2">
      <c r="B139" t="s">
        <v>346</v>
      </c>
      <c r="S139" s="64"/>
      <c r="T139" s="64"/>
      <c r="U139" s="64"/>
      <c r="V139" s="64"/>
      <c r="W139" s="64"/>
      <c r="X139" s="64"/>
      <c r="Y139" s="64"/>
      <c r="Z139" s="64"/>
      <c r="AA139" s="64"/>
      <c r="AB139" s="64">
        <f>+AB85-AB112</f>
        <v>92104.266859567972</v>
      </c>
      <c r="AC139" s="64">
        <f>+AC85-AC112</f>
        <v>78946.514451058261</v>
      </c>
      <c r="AD139" s="64"/>
      <c r="AE139" s="64"/>
      <c r="AF139" s="64"/>
      <c r="AG139" s="64"/>
      <c r="AH139" s="64"/>
      <c r="AI139" s="64"/>
      <c r="AJ139" s="64"/>
      <c r="AK139" s="64"/>
      <c r="AL139" s="64"/>
      <c r="AM139" s="64"/>
      <c r="AN139" s="64"/>
    </row>
    <row r="140" spans="2:40" hidden="1" outlineLevel="1" x14ac:dyDescent="0.2">
      <c r="B140" t="s">
        <v>426</v>
      </c>
      <c r="S140" s="64"/>
      <c r="T140" s="64"/>
      <c r="U140" s="64"/>
      <c r="V140" s="64"/>
      <c r="W140" s="64"/>
      <c r="X140" s="64"/>
      <c r="Y140" s="64"/>
      <c r="Z140" s="64"/>
      <c r="AA140" s="64"/>
      <c r="AB140" s="64"/>
      <c r="AC140" s="64">
        <f>+AC86-AC113</f>
        <v>104900.30574480096</v>
      </c>
      <c r="AD140" s="64"/>
      <c r="AE140" s="64"/>
      <c r="AF140" s="64"/>
      <c r="AG140" s="64"/>
      <c r="AH140" s="64"/>
      <c r="AI140" s="64"/>
      <c r="AJ140" s="64"/>
      <c r="AK140" s="64"/>
      <c r="AL140" s="64"/>
      <c r="AM140" s="64"/>
      <c r="AN140" s="64"/>
    </row>
    <row r="141" spans="2:40" collapsed="1" x14ac:dyDescent="0.2"/>
    <row r="142" spans="2:40" x14ac:dyDescent="0.2">
      <c r="B142" s="52" t="s">
        <v>390</v>
      </c>
      <c r="C142" s="53"/>
    </row>
    <row r="144" spans="2:40" x14ac:dyDescent="0.2">
      <c r="B144" s="54" t="s">
        <v>391</v>
      </c>
    </row>
    <row r="145" spans="2:29" x14ac:dyDescent="0.2">
      <c r="B145" t="s">
        <v>401</v>
      </c>
      <c r="D145" s="81">
        <v>29</v>
      </c>
      <c r="E145" s="81">
        <v>34</v>
      </c>
      <c r="F145" s="81">
        <v>36</v>
      </c>
      <c r="G145" s="81">
        <v>45</v>
      </c>
      <c r="H145" s="81">
        <v>153</v>
      </c>
      <c r="I145" s="81">
        <v>596</v>
      </c>
      <c r="J145" s="81">
        <v>696</v>
      </c>
      <c r="K145" s="81">
        <v>798</v>
      </c>
      <c r="L145" s="81">
        <v>899</v>
      </c>
      <c r="M145" s="81">
        <v>1097</v>
      </c>
      <c r="N145" s="81">
        <v>1326</v>
      </c>
      <c r="O145" s="81">
        <v>1688</v>
      </c>
      <c r="P145" s="81">
        <v>1874</v>
      </c>
      <c r="Q145" s="81">
        <v>2080</v>
      </c>
    </row>
    <row r="146" spans="2:29" x14ac:dyDescent="0.2">
      <c r="B146" t="s">
        <v>405</v>
      </c>
      <c r="D146" s="81">
        <v>478</v>
      </c>
      <c r="E146" s="81">
        <v>1016</v>
      </c>
      <c r="F146" s="81">
        <v>1912</v>
      </c>
      <c r="G146" s="81">
        <v>2351</v>
      </c>
      <c r="H146" s="81">
        <v>3020</v>
      </c>
      <c r="I146" s="81">
        <v>3633</v>
      </c>
      <c r="J146" s="81">
        <v>5179</v>
      </c>
      <c r="K146" s="81">
        <v>7998</v>
      </c>
      <c r="L146" s="81">
        <v>13017</v>
      </c>
      <c r="M146" s="81">
        <v>17004</v>
      </c>
      <c r="N146" s="81">
        <v>22003</v>
      </c>
      <c r="O146" s="81">
        <v>25584</v>
      </c>
      <c r="P146" s="81">
        <v>34330</v>
      </c>
      <c r="Q146" s="81">
        <v>46838</v>
      </c>
    </row>
    <row r="147" spans="2:29" x14ac:dyDescent="0.2">
      <c r="B147" t="s">
        <v>402</v>
      </c>
      <c r="D147" s="81">
        <v>0</v>
      </c>
      <c r="E147" s="81">
        <v>355</v>
      </c>
      <c r="F147" s="81">
        <v>594</v>
      </c>
      <c r="G147" s="81">
        <v>1071</v>
      </c>
      <c r="H147" s="81">
        <v>1420</v>
      </c>
      <c r="I147" s="81">
        <v>2273</v>
      </c>
      <c r="J147" s="81">
        <v>3109</v>
      </c>
      <c r="K147" s="81">
        <v>4909</v>
      </c>
      <c r="L147" s="81">
        <v>7401</v>
      </c>
      <c r="M147" s="81">
        <v>11226</v>
      </c>
      <c r="N147" s="81">
        <v>17360</v>
      </c>
      <c r="O147" s="81">
        <v>22531</v>
      </c>
      <c r="P147" s="81">
        <v>27720</v>
      </c>
      <c r="Q147" s="81">
        <v>37961</v>
      </c>
    </row>
    <row r="148" spans="2:29" x14ac:dyDescent="0.2">
      <c r="B148" t="s">
        <v>406</v>
      </c>
      <c r="D148" s="81">
        <v>58</v>
      </c>
      <c r="E148" s="81">
        <v>120</v>
      </c>
      <c r="F148" s="81">
        <v>194</v>
      </c>
      <c r="G148" s="81">
        <v>203</v>
      </c>
      <c r="H148" s="81">
        <v>304</v>
      </c>
      <c r="I148" s="81">
        <v>447</v>
      </c>
      <c r="J148" s="81">
        <v>531</v>
      </c>
      <c r="K148" s="81">
        <v>959</v>
      </c>
      <c r="L148" s="81">
        <v>1841</v>
      </c>
      <c r="M148" s="81">
        <v>3112</v>
      </c>
      <c r="N148" s="81">
        <v>4321</v>
      </c>
      <c r="O148" s="81">
        <v>5795</v>
      </c>
      <c r="P148" s="81">
        <v>6522</v>
      </c>
      <c r="Q148" s="81">
        <v>6972</v>
      </c>
    </row>
    <row r="149" spans="2:29" x14ac:dyDescent="0.2">
      <c r="B149" t="s">
        <v>407</v>
      </c>
      <c r="D149" s="81">
        <v>61</v>
      </c>
      <c r="E149" s="81">
        <v>73</v>
      </c>
      <c r="F149" s="81">
        <v>93</v>
      </c>
      <c r="G149" s="81">
        <v>95</v>
      </c>
      <c r="H149" s="81">
        <v>149</v>
      </c>
      <c r="I149" s="81">
        <v>248</v>
      </c>
      <c r="J149" s="81">
        <v>398</v>
      </c>
      <c r="K149" s="81">
        <v>681</v>
      </c>
      <c r="L149" s="81">
        <v>1187</v>
      </c>
      <c r="M149" s="81">
        <v>1813</v>
      </c>
      <c r="N149" s="81">
        <v>2458</v>
      </c>
      <c r="O149" s="81">
        <v>4764</v>
      </c>
      <c r="P149" s="81">
        <v>5642</v>
      </c>
      <c r="Q149" s="81">
        <v>7416</v>
      </c>
    </row>
    <row r="150" spans="2:29" x14ac:dyDescent="0.2">
      <c r="B150" t="s">
        <v>408</v>
      </c>
      <c r="D150" s="81">
        <v>0</v>
      </c>
      <c r="E150" s="81">
        <v>0</v>
      </c>
      <c r="F150" s="81">
        <v>0</v>
      </c>
      <c r="G150" s="81">
        <v>0</v>
      </c>
      <c r="H150" s="81">
        <v>0</v>
      </c>
      <c r="I150" s="81">
        <v>0</v>
      </c>
      <c r="J150" s="81">
        <v>0</v>
      </c>
      <c r="K150" s="81">
        <v>0</v>
      </c>
      <c r="L150" s="81">
        <v>0</v>
      </c>
      <c r="M150" s="81">
        <v>1635</v>
      </c>
      <c r="N150" s="81">
        <v>2295</v>
      </c>
      <c r="O150" s="81">
        <v>2840</v>
      </c>
      <c r="P150" s="81">
        <v>3353</v>
      </c>
      <c r="Q150" s="81">
        <v>4185</v>
      </c>
    </row>
    <row r="151" spans="2:29" ht="13.5" x14ac:dyDescent="0.35">
      <c r="B151" t="s">
        <v>409</v>
      </c>
      <c r="D151" s="82">
        <v>194</v>
      </c>
      <c r="E151" s="82">
        <v>327</v>
      </c>
      <c r="F151" s="82">
        <v>444</v>
      </c>
      <c r="G151" s="82">
        <v>377</v>
      </c>
      <c r="H151" s="82">
        <v>738</v>
      </c>
      <c r="I151" s="82">
        <v>622</v>
      </c>
      <c r="J151" s="82">
        <v>1890</v>
      </c>
      <c r="K151" s="82">
        <v>2992</v>
      </c>
      <c r="L151" s="82">
        <v>7228</v>
      </c>
      <c r="M151" s="82">
        <v>10099</v>
      </c>
      <c r="N151" s="82">
        <v>11288</v>
      </c>
      <c r="O151" s="82">
        <v>14687</v>
      </c>
      <c r="P151" s="82">
        <v>25052</v>
      </c>
      <c r="Q151" s="82">
        <v>24269</v>
      </c>
    </row>
    <row r="152" spans="2:29" s="44" customFormat="1" x14ac:dyDescent="0.2">
      <c r="B152" s="110" t="s">
        <v>392</v>
      </c>
      <c r="D152" s="111">
        <f t="shared" ref="D152:Q152" si="68">SUM(D145:D151)</f>
        <v>820</v>
      </c>
      <c r="E152" s="111">
        <f t="shared" si="68"/>
        <v>1925</v>
      </c>
      <c r="F152" s="111">
        <f t="shared" si="68"/>
        <v>3273</v>
      </c>
      <c r="G152" s="111">
        <f t="shared" si="68"/>
        <v>4142</v>
      </c>
      <c r="H152" s="111">
        <f t="shared" si="68"/>
        <v>5784</v>
      </c>
      <c r="I152" s="111">
        <f t="shared" si="68"/>
        <v>7819</v>
      </c>
      <c r="J152" s="111">
        <f t="shared" si="68"/>
        <v>11803</v>
      </c>
      <c r="K152" s="111">
        <f t="shared" si="68"/>
        <v>18337</v>
      </c>
      <c r="L152" s="111">
        <f t="shared" si="68"/>
        <v>31573</v>
      </c>
      <c r="M152" s="111">
        <f t="shared" si="68"/>
        <v>45986</v>
      </c>
      <c r="N152" s="111">
        <f t="shared" si="68"/>
        <v>61051</v>
      </c>
      <c r="O152" s="111">
        <f t="shared" si="68"/>
        <v>77889</v>
      </c>
      <c r="P152" s="111">
        <f t="shared" si="68"/>
        <v>104493</v>
      </c>
      <c r="Q152" s="111">
        <f t="shared" si="68"/>
        <v>129721</v>
      </c>
      <c r="R152" s="111">
        <f>+R159</f>
        <v>165439.79805041035</v>
      </c>
      <c r="S152" s="111">
        <f t="shared" ref="S152:AC152" si="69">+S159</f>
        <v>208473.52982386519</v>
      </c>
      <c r="T152" s="111">
        <f t="shared" si="69"/>
        <v>254055.03320078837</v>
      </c>
      <c r="U152" s="111">
        <f t="shared" si="69"/>
        <v>301734.34166453732</v>
      </c>
      <c r="V152" s="111">
        <f t="shared" si="69"/>
        <v>353899.22801855317</v>
      </c>
      <c r="W152" s="111">
        <f t="shared" si="69"/>
        <v>410589.38488514564</v>
      </c>
      <c r="X152" s="111">
        <f t="shared" si="69"/>
        <v>471756.87207419745</v>
      </c>
      <c r="Y152" s="111">
        <f t="shared" si="69"/>
        <v>541855.45882830746</v>
      </c>
      <c r="Z152" s="111">
        <f t="shared" si="69"/>
        <v>621837.52725687646</v>
      </c>
      <c r="AA152" s="111">
        <f t="shared" si="69"/>
        <v>712701.9152765132</v>
      </c>
      <c r="AB152" s="111">
        <f t="shared" si="69"/>
        <v>815487.03613106767</v>
      </c>
      <c r="AC152" s="111">
        <f t="shared" si="69"/>
        <v>931262.30908554117</v>
      </c>
    </row>
    <row r="153" spans="2:29" s="44" customFormat="1" x14ac:dyDescent="0.2">
      <c r="B153" s="60" t="s">
        <v>528</v>
      </c>
      <c r="D153" s="111"/>
      <c r="E153" s="111"/>
      <c r="F153" s="111"/>
      <c r="G153" s="95">
        <f>+G152-G151</f>
        <v>3765</v>
      </c>
      <c r="H153" s="95">
        <f t="shared" ref="H153:Q153" si="70">+H152-H151</f>
        <v>5046</v>
      </c>
      <c r="I153" s="95">
        <f t="shared" si="70"/>
        <v>7197</v>
      </c>
      <c r="J153" s="95">
        <f t="shared" si="70"/>
        <v>9913</v>
      </c>
      <c r="K153" s="95">
        <f t="shared" si="70"/>
        <v>15345</v>
      </c>
      <c r="L153" s="95">
        <f t="shared" si="70"/>
        <v>24345</v>
      </c>
      <c r="M153" s="95">
        <f t="shared" si="70"/>
        <v>35887</v>
      </c>
      <c r="N153" s="95">
        <f t="shared" si="70"/>
        <v>49763</v>
      </c>
      <c r="O153" s="95">
        <f t="shared" si="70"/>
        <v>63202</v>
      </c>
      <c r="P153" s="95">
        <f t="shared" si="70"/>
        <v>79441</v>
      </c>
      <c r="Q153" s="95">
        <f t="shared" si="70"/>
        <v>105452</v>
      </c>
      <c r="R153" s="95">
        <f>+Q153+R21</f>
        <v>139629.03271523811</v>
      </c>
      <c r="S153" s="95">
        <f t="shared" ref="S153:AC153" si="71">+R153+S21</f>
        <v>178652.9737464271</v>
      </c>
      <c r="T153" s="95">
        <f t="shared" si="71"/>
        <v>218018.24748575737</v>
      </c>
      <c r="U153" s="95">
        <f t="shared" si="71"/>
        <v>260737.78869134292</v>
      </c>
      <c r="V153" s="95">
        <f t="shared" si="71"/>
        <v>308848.76121660601</v>
      </c>
      <c r="W153" s="95">
        <f t="shared" si="71"/>
        <v>362530.11718955933</v>
      </c>
      <c r="X153" s="95">
        <f t="shared" si="71"/>
        <v>421873.97075911722</v>
      </c>
      <c r="Y153" s="95">
        <f t="shared" si="71"/>
        <v>490928.51748580055</v>
      </c>
      <c r="Z153" s="95">
        <f t="shared" si="71"/>
        <v>570830.14511944551</v>
      </c>
      <c r="AA153" s="95">
        <f t="shared" si="71"/>
        <v>662781.10243269906</v>
      </c>
      <c r="AB153" s="95">
        <f t="shared" si="71"/>
        <v>768043.12170077674</v>
      </c>
      <c r="AC153" s="95">
        <f t="shared" si="71"/>
        <v>887929.18540912075</v>
      </c>
    </row>
    <row r="154" spans="2:29" s="44" customFormat="1" x14ac:dyDescent="0.2">
      <c r="B154" s="110"/>
      <c r="O154" s="111"/>
      <c r="P154" s="111"/>
      <c r="Q154" s="111"/>
    </row>
    <row r="155" spans="2:29" s="44" customFormat="1" x14ac:dyDescent="0.2">
      <c r="B155" t="s">
        <v>393</v>
      </c>
      <c r="D155" s="64"/>
      <c r="E155" s="64">
        <f>+D152</f>
        <v>820</v>
      </c>
      <c r="F155" s="64">
        <f t="shared" ref="F155:Q155" si="72">+E152</f>
        <v>1925</v>
      </c>
      <c r="G155" s="64">
        <f t="shared" si="72"/>
        <v>3273</v>
      </c>
      <c r="H155" s="64">
        <f t="shared" si="72"/>
        <v>4142</v>
      </c>
      <c r="I155" s="64">
        <f t="shared" si="72"/>
        <v>5784</v>
      </c>
      <c r="J155" s="64">
        <f t="shared" si="72"/>
        <v>7819</v>
      </c>
      <c r="K155" s="64">
        <f t="shared" si="72"/>
        <v>11803</v>
      </c>
      <c r="L155" s="64">
        <f t="shared" si="72"/>
        <v>18337</v>
      </c>
      <c r="M155" s="64">
        <f t="shared" si="72"/>
        <v>31573</v>
      </c>
      <c r="N155" s="64">
        <f t="shared" si="72"/>
        <v>45986</v>
      </c>
      <c r="O155" s="64">
        <f t="shared" si="72"/>
        <v>61051</v>
      </c>
      <c r="P155" s="64">
        <f t="shared" si="72"/>
        <v>77889</v>
      </c>
      <c r="Q155" s="64">
        <f t="shared" si="72"/>
        <v>104493</v>
      </c>
      <c r="R155" s="64">
        <f>+Q159</f>
        <v>129721</v>
      </c>
      <c r="S155" s="64">
        <f t="shared" ref="S155:AC155" si="73">+R159</f>
        <v>165439.79805041035</v>
      </c>
      <c r="T155" s="64">
        <f t="shared" si="73"/>
        <v>208473.52982386519</v>
      </c>
      <c r="U155" s="64">
        <f t="shared" si="73"/>
        <v>254055.03320078837</v>
      </c>
      <c r="V155" s="64">
        <f t="shared" si="73"/>
        <v>301734.34166453732</v>
      </c>
      <c r="W155" s="64">
        <f t="shared" si="73"/>
        <v>353899.22801855317</v>
      </c>
      <c r="X155" s="64">
        <f t="shared" si="73"/>
        <v>410589.38488514564</v>
      </c>
      <c r="Y155" s="64">
        <f t="shared" si="73"/>
        <v>471756.87207419745</v>
      </c>
      <c r="Z155" s="64">
        <f t="shared" si="73"/>
        <v>541855.45882830746</v>
      </c>
      <c r="AA155" s="64">
        <f t="shared" si="73"/>
        <v>621837.52725687646</v>
      </c>
      <c r="AB155" s="64">
        <f t="shared" si="73"/>
        <v>712701.9152765132</v>
      </c>
      <c r="AC155" s="64">
        <f t="shared" si="73"/>
        <v>815487.03613106767</v>
      </c>
    </row>
    <row r="156" spans="2:29" s="44" customFormat="1" x14ac:dyDescent="0.2">
      <c r="B156" t="s">
        <v>376</v>
      </c>
      <c r="D156" s="81"/>
      <c r="E156" s="81">
        <v>606</v>
      </c>
      <c r="F156" s="81">
        <v>1235</v>
      </c>
      <c r="G156" s="81">
        <v>1362</v>
      </c>
      <c r="H156" s="81">
        <v>1831</v>
      </c>
      <c r="I156" s="81">
        <v>2523</v>
      </c>
      <c r="J156" s="81">
        <v>4491</v>
      </c>
      <c r="K156" s="81">
        <v>6733</v>
      </c>
      <c r="L156" s="81">
        <v>13915</v>
      </c>
      <c r="M156" s="81">
        <v>15102</v>
      </c>
      <c r="N156" s="81">
        <v>15115</v>
      </c>
      <c r="O156" s="81">
        <v>18567</v>
      </c>
      <c r="P156" s="81">
        <v>31431</v>
      </c>
      <c r="Q156" s="81">
        <v>27266</v>
      </c>
      <c r="R156" s="64">
        <f>+R17</f>
        <v>37974.480794708994</v>
      </c>
      <c r="S156" s="64">
        <f t="shared" ref="S156:AC157" si="74">+S17</f>
        <v>45910.518860222342</v>
      </c>
      <c r="T156" s="64">
        <f t="shared" si="74"/>
        <v>49206.592174162841</v>
      </c>
      <c r="U156" s="64">
        <f t="shared" si="74"/>
        <v>52097.001470226278</v>
      </c>
      <c r="V156" s="64">
        <f t="shared" si="74"/>
        <v>57411.661724657599</v>
      </c>
      <c r="W156" s="64">
        <f t="shared" si="74"/>
        <v>62844.013080020246</v>
      </c>
      <c r="X156" s="64">
        <f t="shared" si="74"/>
        <v>68307.1129279655</v>
      </c>
      <c r="Y156" s="64">
        <f t="shared" si="74"/>
        <v>78301.837082446029</v>
      </c>
      <c r="Z156" s="64">
        <f t="shared" si="74"/>
        <v>89404.243777071097</v>
      </c>
      <c r="AA156" s="64">
        <f t="shared" si="74"/>
        <v>101677.3495292665</v>
      </c>
      <c r="AB156" s="64">
        <f t="shared" si="74"/>
        <v>115178.09818372884</v>
      </c>
      <c r="AC156" s="64">
        <f t="shared" si="74"/>
        <v>129955.5524435316</v>
      </c>
    </row>
    <row r="157" spans="2:29" s="44" customFormat="1" x14ac:dyDescent="0.2">
      <c r="B157" t="s">
        <v>377</v>
      </c>
      <c r="D157" s="81"/>
      <c r="E157" s="81">
        <v>0</v>
      </c>
      <c r="F157" s="81">
        <v>0</v>
      </c>
      <c r="G157" s="81">
        <v>0</v>
      </c>
      <c r="H157" s="81">
        <v>0</v>
      </c>
      <c r="I157" s="81">
        <v>0</v>
      </c>
      <c r="J157" s="81">
        <v>0</v>
      </c>
      <c r="K157" s="81">
        <v>0</v>
      </c>
      <c r="L157" s="81">
        <v>0</v>
      </c>
      <c r="M157" s="81">
        <v>0</v>
      </c>
      <c r="N157" s="81">
        <v>0</v>
      </c>
      <c r="O157" s="81">
        <v>0</v>
      </c>
      <c r="P157" s="81">
        <v>-245</v>
      </c>
      <c r="Q157" s="81">
        <v>-221</v>
      </c>
      <c r="R157" s="111">
        <f>+R18</f>
        <v>0</v>
      </c>
      <c r="S157" s="111">
        <f t="shared" si="74"/>
        <v>0</v>
      </c>
      <c r="T157" s="111">
        <f t="shared" si="74"/>
        <v>0</v>
      </c>
      <c r="U157" s="111">
        <f t="shared" si="74"/>
        <v>0</v>
      </c>
      <c r="V157" s="111">
        <f t="shared" si="74"/>
        <v>0</v>
      </c>
      <c r="W157" s="111">
        <f t="shared" si="74"/>
        <v>0</v>
      </c>
      <c r="X157" s="111">
        <f t="shared" si="74"/>
        <v>0</v>
      </c>
      <c r="Y157" s="111">
        <f t="shared" si="74"/>
        <v>0</v>
      </c>
      <c r="Z157" s="111">
        <f t="shared" si="74"/>
        <v>0</v>
      </c>
      <c r="AA157" s="111">
        <f t="shared" si="74"/>
        <v>0</v>
      </c>
      <c r="AB157" s="111">
        <f t="shared" si="74"/>
        <v>0</v>
      </c>
      <c r="AC157" s="111">
        <f t="shared" si="74"/>
        <v>0</v>
      </c>
    </row>
    <row r="158" spans="2:29" s="44" customFormat="1" ht="13.5" x14ac:dyDescent="0.35">
      <c r="B158" t="s">
        <v>33</v>
      </c>
      <c r="D158" s="65"/>
      <c r="E158" s="65">
        <f t="shared" ref="E158:Q158" si="75">+E159-SUM(E155:E157)</f>
        <v>499</v>
      </c>
      <c r="F158" s="65">
        <f t="shared" si="75"/>
        <v>113</v>
      </c>
      <c r="G158" s="65">
        <f t="shared" si="75"/>
        <v>-493</v>
      </c>
      <c r="H158" s="65">
        <f t="shared" si="75"/>
        <v>-189</v>
      </c>
      <c r="I158" s="65">
        <f t="shared" si="75"/>
        <v>-488</v>
      </c>
      <c r="J158" s="65">
        <f t="shared" si="75"/>
        <v>-507</v>
      </c>
      <c r="K158" s="65">
        <f t="shared" si="75"/>
        <v>-199</v>
      </c>
      <c r="L158" s="65">
        <f t="shared" si="75"/>
        <v>-679</v>
      </c>
      <c r="M158" s="65">
        <f t="shared" si="75"/>
        <v>-689</v>
      </c>
      <c r="N158" s="65">
        <f t="shared" si="75"/>
        <v>-50</v>
      </c>
      <c r="O158" s="65">
        <f t="shared" si="75"/>
        <v>-1729</v>
      </c>
      <c r="P158" s="65">
        <f t="shared" si="75"/>
        <v>-4582</v>
      </c>
      <c r="Q158" s="65">
        <f t="shared" si="75"/>
        <v>-1817</v>
      </c>
      <c r="R158" s="71">
        <f>+Q158/Q155*R155</f>
        <v>-2255.6827442986614</v>
      </c>
      <c r="S158" s="71">
        <f t="shared" ref="S158:AC158" si="76">+R158/R155*S155</f>
        <v>-2876.7870867674928</v>
      </c>
      <c r="T158" s="71">
        <f t="shared" si="76"/>
        <v>-3625.0887972396531</v>
      </c>
      <c r="U158" s="71">
        <f t="shared" si="76"/>
        <v>-4417.6930064772996</v>
      </c>
      <c r="V158" s="71">
        <f t="shared" si="76"/>
        <v>-5246.7753706417116</v>
      </c>
      <c r="W158" s="71">
        <f t="shared" si="76"/>
        <v>-6153.8562134278</v>
      </c>
      <c r="X158" s="71">
        <f t="shared" si="76"/>
        <v>-7139.6257389137036</v>
      </c>
      <c r="Y158" s="71">
        <f t="shared" si="76"/>
        <v>-8203.2503283360311</v>
      </c>
      <c r="Z158" s="71">
        <f t="shared" si="76"/>
        <v>-9422.1753485021454</v>
      </c>
      <c r="AA158" s="71">
        <f t="shared" si="76"/>
        <v>-10812.96150962978</v>
      </c>
      <c r="AB158" s="71">
        <f t="shared" si="76"/>
        <v>-12392.977329174439</v>
      </c>
      <c r="AC158" s="71">
        <f t="shared" si="76"/>
        <v>-14180.279489058119</v>
      </c>
    </row>
    <row r="159" spans="2:29" s="44" customFormat="1" x14ac:dyDescent="0.2">
      <c r="B159" s="110" t="s">
        <v>392</v>
      </c>
      <c r="D159" s="111"/>
      <c r="E159" s="111">
        <f t="shared" ref="E159:Q159" si="77">+E152</f>
        <v>1925</v>
      </c>
      <c r="F159" s="111">
        <f t="shared" si="77"/>
        <v>3273</v>
      </c>
      <c r="G159" s="111">
        <f t="shared" si="77"/>
        <v>4142</v>
      </c>
      <c r="H159" s="111">
        <f t="shared" si="77"/>
        <v>5784</v>
      </c>
      <c r="I159" s="111">
        <f t="shared" si="77"/>
        <v>7819</v>
      </c>
      <c r="J159" s="111">
        <f t="shared" si="77"/>
        <v>11803</v>
      </c>
      <c r="K159" s="111">
        <f t="shared" si="77"/>
        <v>18337</v>
      </c>
      <c r="L159" s="111">
        <f t="shared" si="77"/>
        <v>31573</v>
      </c>
      <c r="M159" s="111">
        <f t="shared" si="77"/>
        <v>45986</v>
      </c>
      <c r="N159" s="111">
        <f t="shared" si="77"/>
        <v>61051</v>
      </c>
      <c r="O159" s="111">
        <f t="shared" si="77"/>
        <v>77889</v>
      </c>
      <c r="P159" s="111">
        <f t="shared" si="77"/>
        <v>104493</v>
      </c>
      <c r="Q159" s="111">
        <f t="shared" si="77"/>
        <v>129721</v>
      </c>
      <c r="R159" s="111">
        <f>SUM(R155:R158)</f>
        <v>165439.79805041035</v>
      </c>
      <c r="S159" s="111">
        <f t="shared" ref="S159:AC159" si="78">SUM(S155:S158)</f>
        <v>208473.52982386519</v>
      </c>
      <c r="T159" s="111">
        <f t="shared" si="78"/>
        <v>254055.03320078837</v>
      </c>
      <c r="U159" s="111">
        <f t="shared" si="78"/>
        <v>301734.34166453732</v>
      </c>
      <c r="V159" s="111">
        <f t="shared" si="78"/>
        <v>353899.22801855317</v>
      </c>
      <c r="W159" s="111">
        <f t="shared" si="78"/>
        <v>410589.38488514564</v>
      </c>
      <c r="X159" s="111">
        <f t="shared" si="78"/>
        <v>471756.87207419745</v>
      </c>
      <c r="Y159" s="111">
        <f t="shared" si="78"/>
        <v>541855.45882830746</v>
      </c>
      <c r="Z159" s="111">
        <f t="shared" si="78"/>
        <v>621837.52725687646</v>
      </c>
      <c r="AA159" s="111">
        <f t="shared" si="78"/>
        <v>712701.9152765132</v>
      </c>
      <c r="AB159" s="111">
        <f t="shared" si="78"/>
        <v>815487.03613106767</v>
      </c>
      <c r="AC159" s="111">
        <f t="shared" si="78"/>
        <v>931262.30908554117</v>
      </c>
    </row>
    <row r="160" spans="2:29" x14ac:dyDescent="0.2">
      <c r="M160" s="64"/>
      <c r="N160" s="64"/>
      <c r="O160" s="64"/>
      <c r="P160" s="64"/>
    </row>
    <row r="161" spans="2:29" x14ac:dyDescent="0.2">
      <c r="B161" s="54" t="s">
        <v>394</v>
      </c>
    </row>
    <row r="162" spans="2:29" s="44" customFormat="1" x14ac:dyDescent="0.2">
      <c r="B162" s="44" t="s">
        <v>388</v>
      </c>
      <c r="D162" s="113">
        <v>246</v>
      </c>
      <c r="E162" s="113">
        <v>450</v>
      </c>
      <c r="F162" s="113">
        <v>882</v>
      </c>
      <c r="G162" s="113">
        <v>1260</v>
      </c>
      <c r="H162" s="113">
        <v>1817</v>
      </c>
      <c r="I162" s="113">
        <v>2132</v>
      </c>
      <c r="J162" s="113">
        <v>3212</v>
      </c>
      <c r="K162" s="113">
        <v>4616</v>
      </c>
      <c r="L162" s="113">
        <v>6890</v>
      </c>
      <c r="M162" s="113">
        <v>10663</v>
      </c>
      <c r="N162" s="113">
        <v>15418</v>
      </c>
      <c r="O162" s="113">
        <v>20080</v>
      </c>
      <c r="P162" s="113">
        <v>24975</v>
      </c>
      <c r="Q162" s="113">
        <v>33134</v>
      </c>
      <c r="R162" s="111">
        <f>+R167</f>
        <v>44642.119253139921</v>
      </c>
      <c r="S162" s="111">
        <f t="shared" ref="S162:AC162" si="79">+S167</f>
        <v>58822.020302755664</v>
      </c>
      <c r="T162" s="111">
        <f t="shared" si="79"/>
        <v>75035.787803314859</v>
      </c>
      <c r="U162" s="111">
        <f t="shared" si="79"/>
        <v>93613.87273583244</v>
      </c>
      <c r="V162" s="111">
        <f t="shared" si="79"/>
        <v>114934.96849664228</v>
      </c>
      <c r="W162" s="111">
        <f t="shared" si="79"/>
        <v>139063.1400286844</v>
      </c>
      <c r="X162" s="111">
        <f t="shared" si="79"/>
        <v>165953.64959371497</v>
      </c>
      <c r="Y162" s="111">
        <f t="shared" si="79"/>
        <v>195147.40224585295</v>
      </c>
      <c r="Z162" s="111">
        <f t="shared" si="79"/>
        <v>226715.95868902563</v>
      </c>
      <c r="AA162" s="111">
        <f t="shared" si="79"/>
        <v>261287.86226497038</v>
      </c>
      <c r="AB162" s="111">
        <f t="shared" si="79"/>
        <v>300140.64279897354</v>
      </c>
      <c r="AC162" s="111">
        <f t="shared" si="79"/>
        <v>344193.14267920767</v>
      </c>
    </row>
    <row r="164" spans="2:29" x14ac:dyDescent="0.2">
      <c r="B164" t="s">
        <v>395</v>
      </c>
      <c r="D164" s="64"/>
      <c r="E164" s="64">
        <f>+D162</f>
        <v>246</v>
      </c>
      <c r="F164" s="64">
        <f t="shared" ref="F164:Q164" si="80">+E167</f>
        <v>450</v>
      </c>
      <c r="G164" s="64">
        <f t="shared" si="80"/>
        <v>882</v>
      </c>
      <c r="H164" s="64">
        <f t="shared" si="80"/>
        <v>1260</v>
      </c>
      <c r="I164" s="64">
        <f t="shared" si="80"/>
        <v>1817</v>
      </c>
      <c r="J164" s="64">
        <f t="shared" si="80"/>
        <v>2132</v>
      </c>
      <c r="K164" s="64">
        <f t="shared" si="80"/>
        <v>3212</v>
      </c>
      <c r="L164" s="64">
        <f t="shared" si="80"/>
        <v>4616</v>
      </c>
      <c r="M164" s="64">
        <f t="shared" si="80"/>
        <v>6890</v>
      </c>
      <c r="N164" s="64">
        <f t="shared" si="80"/>
        <v>10663</v>
      </c>
      <c r="O164" s="64">
        <f t="shared" si="80"/>
        <v>15418</v>
      </c>
      <c r="P164" s="64">
        <f t="shared" si="80"/>
        <v>20080</v>
      </c>
      <c r="Q164" s="64">
        <f t="shared" si="80"/>
        <v>24975</v>
      </c>
      <c r="R164" s="64">
        <f>+Q167</f>
        <v>33134</v>
      </c>
      <c r="S164" s="64">
        <f t="shared" ref="S164:AC164" si="81">+R167</f>
        <v>44642.119253139921</v>
      </c>
      <c r="T164" s="64">
        <f t="shared" si="81"/>
        <v>58822.020302755664</v>
      </c>
      <c r="U164" s="64">
        <f t="shared" si="81"/>
        <v>75035.787803314859</v>
      </c>
      <c r="V164" s="64">
        <f t="shared" si="81"/>
        <v>93613.87273583244</v>
      </c>
      <c r="W164" s="64">
        <f t="shared" si="81"/>
        <v>114934.96849664228</v>
      </c>
      <c r="X164" s="64">
        <f t="shared" si="81"/>
        <v>139063.1400286844</v>
      </c>
      <c r="Y164" s="64">
        <f t="shared" si="81"/>
        <v>165953.64959371497</v>
      </c>
      <c r="Z164" s="64">
        <f t="shared" si="81"/>
        <v>195147.40224585295</v>
      </c>
      <c r="AA164" s="64">
        <f t="shared" si="81"/>
        <v>226715.95868902563</v>
      </c>
      <c r="AB164" s="64">
        <f t="shared" si="81"/>
        <v>261287.86226497038</v>
      </c>
      <c r="AC164" s="64">
        <f t="shared" si="81"/>
        <v>300140.64279897354</v>
      </c>
    </row>
    <row r="165" spans="2:29" x14ac:dyDescent="0.2">
      <c r="B165" t="s">
        <v>396</v>
      </c>
      <c r="D165" s="81"/>
      <c r="E165" s="81">
        <v>323</v>
      </c>
      <c r="F165" s="81">
        <v>649</v>
      </c>
      <c r="G165" s="81">
        <v>866</v>
      </c>
      <c r="H165" s="81">
        <v>924</v>
      </c>
      <c r="I165" s="81">
        <v>1215</v>
      </c>
      <c r="J165" s="81">
        <v>1591</v>
      </c>
      <c r="K165" s="81">
        <v>2333</v>
      </c>
      <c r="L165" s="81">
        <v>3675</v>
      </c>
      <c r="M165" s="81">
        <v>5179</v>
      </c>
      <c r="N165" s="81">
        <v>6389</v>
      </c>
      <c r="O165" s="81">
        <v>7560</v>
      </c>
      <c r="P165" s="81">
        <v>8501</v>
      </c>
      <c r="Q165" s="81">
        <v>11017</v>
      </c>
      <c r="R165" s="64">
        <f>+R49</f>
        <v>15299.789803690475</v>
      </c>
      <c r="S165" s="64">
        <f t="shared" ref="S165:AC165" si="82">+S49</f>
        <v>19288.496718303388</v>
      </c>
      <c r="T165" s="64">
        <f t="shared" si="82"/>
        <v>22945.03212619586</v>
      </c>
      <c r="U165" s="64">
        <f t="shared" si="82"/>
        <v>27164.762872132153</v>
      </c>
      <c r="V165" s="64">
        <f t="shared" si="82"/>
        <v>32033.746342551938</v>
      </c>
      <c r="W165" s="64">
        <f t="shared" si="82"/>
        <v>37280.689648694912</v>
      </c>
      <c r="X165" s="64">
        <f t="shared" si="82"/>
        <v>42804.121344889645</v>
      </c>
      <c r="Y165" s="64">
        <f t="shared" si="82"/>
        <v>48184.564685725054</v>
      </c>
      <c r="Z165" s="64">
        <f t="shared" si="82"/>
        <v>53900.139050525926</v>
      </c>
      <c r="AA165" s="64">
        <f t="shared" si="82"/>
        <v>60516.016085783995</v>
      </c>
      <c r="AB165" s="64">
        <f t="shared" si="82"/>
        <v>68753.109276877411</v>
      </c>
      <c r="AC165" s="64">
        <f t="shared" si="82"/>
        <v>78398.924589722228</v>
      </c>
    </row>
    <row r="166" spans="2:29" ht="13.5" x14ac:dyDescent="0.35">
      <c r="B166" t="s">
        <v>33</v>
      </c>
      <c r="D166" s="65"/>
      <c r="E166" s="65">
        <f t="shared" ref="E166:Q166" si="83">+E167-SUM(E164:E165)</f>
        <v>-119</v>
      </c>
      <c r="F166" s="65">
        <f t="shared" si="83"/>
        <v>-217</v>
      </c>
      <c r="G166" s="65">
        <f t="shared" si="83"/>
        <v>-488</v>
      </c>
      <c r="H166" s="65">
        <f t="shared" si="83"/>
        <v>-367</v>
      </c>
      <c r="I166" s="65">
        <f t="shared" si="83"/>
        <v>-900</v>
      </c>
      <c r="J166" s="65">
        <f t="shared" si="83"/>
        <v>-511</v>
      </c>
      <c r="K166" s="65">
        <f t="shared" si="83"/>
        <v>-929</v>
      </c>
      <c r="L166" s="65">
        <f t="shared" si="83"/>
        <v>-1401</v>
      </c>
      <c r="M166" s="65">
        <f t="shared" si="83"/>
        <v>-1406</v>
      </c>
      <c r="N166" s="65">
        <f t="shared" si="83"/>
        <v>-1634</v>
      </c>
      <c r="O166" s="65">
        <f t="shared" si="83"/>
        <v>-2898</v>
      </c>
      <c r="P166" s="65">
        <f t="shared" si="83"/>
        <v>-3606</v>
      </c>
      <c r="Q166" s="65">
        <f t="shared" si="83"/>
        <v>-2858</v>
      </c>
      <c r="R166" s="71">
        <f>+Q166/Q164*R164</f>
        <v>-3791.6705505505506</v>
      </c>
      <c r="S166" s="71">
        <f t="shared" ref="S166:AC166" si="84">+R166/R164*S164</f>
        <v>-5108.5956686876434</v>
      </c>
      <c r="T166" s="71">
        <f t="shared" si="84"/>
        <v>-6731.2646256366643</v>
      </c>
      <c r="U166" s="71">
        <f t="shared" si="84"/>
        <v>-8586.6779396145685</v>
      </c>
      <c r="V166" s="71">
        <f t="shared" si="84"/>
        <v>-10712.650581742106</v>
      </c>
      <c r="W166" s="71">
        <f t="shared" si="84"/>
        <v>-13152.518116652796</v>
      </c>
      <c r="X166" s="71">
        <f t="shared" si="84"/>
        <v>-15913.611779859059</v>
      </c>
      <c r="Y166" s="71">
        <f t="shared" si="84"/>
        <v>-18990.812033587081</v>
      </c>
      <c r="Z166" s="71">
        <f t="shared" si="84"/>
        <v>-22331.582607353259</v>
      </c>
      <c r="AA166" s="71">
        <f t="shared" si="84"/>
        <v>-25944.112509839248</v>
      </c>
      <c r="AB166" s="71">
        <f t="shared" si="84"/>
        <v>-29900.328742874284</v>
      </c>
      <c r="AC166" s="71">
        <f t="shared" si="84"/>
        <v>-34346.424709488136</v>
      </c>
    </row>
    <row r="167" spans="2:29" s="44" customFormat="1" x14ac:dyDescent="0.2">
      <c r="B167" s="110" t="s">
        <v>388</v>
      </c>
      <c r="D167" s="111"/>
      <c r="E167" s="111">
        <f t="shared" ref="E167:Q167" si="85">+E162</f>
        <v>450</v>
      </c>
      <c r="F167" s="111">
        <f t="shared" si="85"/>
        <v>882</v>
      </c>
      <c r="G167" s="111">
        <f t="shared" si="85"/>
        <v>1260</v>
      </c>
      <c r="H167" s="111">
        <f t="shared" si="85"/>
        <v>1817</v>
      </c>
      <c r="I167" s="111">
        <f t="shared" si="85"/>
        <v>2132</v>
      </c>
      <c r="J167" s="111">
        <f t="shared" si="85"/>
        <v>3212</v>
      </c>
      <c r="K167" s="111">
        <f t="shared" si="85"/>
        <v>4616</v>
      </c>
      <c r="L167" s="111">
        <f t="shared" si="85"/>
        <v>6890</v>
      </c>
      <c r="M167" s="111">
        <f t="shared" si="85"/>
        <v>10663</v>
      </c>
      <c r="N167" s="111">
        <f t="shared" si="85"/>
        <v>15418</v>
      </c>
      <c r="O167" s="111">
        <f t="shared" si="85"/>
        <v>20080</v>
      </c>
      <c r="P167" s="111">
        <f t="shared" si="85"/>
        <v>24975</v>
      </c>
      <c r="Q167" s="111">
        <f t="shared" si="85"/>
        <v>33134</v>
      </c>
      <c r="R167" s="111">
        <f>SUM(R164:R166)</f>
        <v>44642.119253139921</v>
      </c>
      <c r="S167" s="111">
        <f t="shared" ref="S167:AC167" si="86">SUM(S164:S166)</f>
        <v>58822.020302755664</v>
      </c>
      <c r="T167" s="111">
        <f t="shared" si="86"/>
        <v>75035.787803314859</v>
      </c>
      <c r="U167" s="111">
        <f t="shared" si="86"/>
        <v>93613.87273583244</v>
      </c>
      <c r="V167" s="111">
        <f t="shared" si="86"/>
        <v>114934.96849664228</v>
      </c>
      <c r="W167" s="111">
        <f t="shared" si="86"/>
        <v>139063.1400286844</v>
      </c>
      <c r="X167" s="111">
        <f t="shared" si="86"/>
        <v>165953.64959371497</v>
      </c>
      <c r="Y167" s="111">
        <f t="shared" si="86"/>
        <v>195147.40224585295</v>
      </c>
      <c r="Z167" s="111">
        <f t="shared" si="86"/>
        <v>226715.95868902563</v>
      </c>
      <c r="AA167" s="111">
        <f t="shared" si="86"/>
        <v>261287.86226497038</v>
      </c>
      <c r="AB167" s="111">
        <f t="shared" si="86"/>
        <v>300140.64279897354</v>
      </c>
      <c r="AC167" s="111">
        <f t="shared" si="86"/>
        <v>344193.14267920767</v>
      </c>
    </row>
    <row r="168" spans="2:29" x14ac:dyDescent="0.2">
      <c r="B168" s="60"/>
      <c r="D168" s="206"/>
      <c r="E168" s="206"/>
      <c r="F168" s="206"/>
      <c r="G168" s="206"/>
      <c r="H168" s="206"/>
      <c r="I168" s="206"/>
      <c r="J168" s="206"/>
      <c r="K168" s="206"/>
      <c r="L168" s="206"/>
      <c r="M168" s="206"/>
      <c r="N168" s="206"/>
      <c r="O168" s="206"/>
      <c r="P168" s="206"/>
      <c r="Q168" s="206"/>
    </row>
    <row r="169" spans="2:29" x14ac:dyDescent="0.2">
      <c r="B169" s="54" t="s">
        <v>398</v>
      </c>
    </row>
    <row r="170" spans="2:29" x14ac:dyDescent="0.2">
      <c r="B170" t="s">
        <v>392</v>
      </c>
      <c r="D170" s="64">
        <f t="shared" ref="D170:Q170" si="87">+D152</f>
        <v>820</v>
      </c>
      <c r="E170" s="64">
        <f t="shared" si="87"/>
        <v>1925</v>
      </c>
      <c r="F170" s="64">
        <f t="shared" si="87"/>
        <v>3273</v>
      </c>
      <c r="G170" s="64">
        <f t="shared" si="87"/>
        <v>4142</v>
      </c>
      <c r="H170" s="64">
        <f t="shared" si="87"/>
        <v>5784</v>
      </c>
      <c r="I170" s="64">
        <f t="shared" si="87"/>
        <v>7819</v>
      </c>
      <c r="J170" s="64">
        <f t="shared" si="87"/>
        <v>11803</v>
      </c>
      <c r="K170" s="64">
        <f t="shared" si="87"/>
        <v>18337</v>
      </c>
      <c r="L170" s="64">
        <f t="shared" si="87"/>
        <v>31573</v>
      </c>
      <c r="M170" s="64">
        <f t="shared" si="87"/>
        <v>45986</v>
      </c>
      <c r="N170" s="64">
        <f t="shared" si="87"/>
        <v>61051</v>
      </c>
      <c r="O170" s="64">
        <f t="shared" si="87"/>
        <v>77889</v>
      </c>
      <c r="P170" s="64">
        <f t="shared" si="87"/>
        <v>104493</v>
      </c>
      <c r="Q170" s="64">
        <f t="shared" si="87"/>
        <v>129721</v>
      </c>
      <c r="R170" s="64">
        <f t="shared" ref="R170:AC170" si="88">+R152</f>
        <v>165439.79805041035</v>
      </c>
      <c r="S170" s="64">
        <f t="shared" si="88"/>
        <v>208473.52982386519</v>
      </c>
      <c r="T170" s="64">
        <f t="shared" si="88"/>
        <v>254055.03320078837</v>
      </c>
      <c r="U170" s="64">
        <f t="shared" si="88"/>
        <v>301734.34166453732</v>
      </c>
      <c r="V170" s="64">
        <f t="shared" si="88"/>
        <v>353899.22801855317</v>
      </c>
      <c r="W170" s="64">
        <f t="shared" si="88"/>
        <v>410589.38488514564</v>
      </c>
      <c r="X170" s="64">
        <f t="shared" si="88"/>
        <v>471756.87207419745</v>
      </c>
      <c r="Y170" s="64">
        <f t="shared" si="88"/>
        <v>541855.45882830746</v>
      </c>
      <c r="Z170" s="64">
        <f t="shared" si="88"/>
        <v>621837.52725687646</v>
      </c>
      <c r="AA170" s="64">
        <f t="shared" si="88"/>
        <v>712701.9152765132</v>
      </c>
      <c r="AB170" s="64">
        <f t="shared" si="88"/>
        <v>815487.03613106767</v>
      </c>
      <c r="AC170" s="64">
        <f t="shared" si="88"/>
        <v>931262.30908554117</v>
      </c>
    </row>
    <row r="171" spans="2:29" ht="13.5" x14ac:dyDescent="0.35">
      <c r="B171" t="s">
        <v>388</v>
      </c>
      <c r="D171" s="65">
        <f t="shared" ref="D171:Q171" si="89">-D162</f>
        <v>-246</v>
      </c>
      <c r="E171" s="65">
        <f t="shared" si="89"/>
        <v>-450</v>
      </c>
      <c r="F171" s="65">
        <f t="shared" si="89"/>
        <v>-882</v>
      </c>
      <c r="G171" s="65">
        <f t="shared" si="89"/>
        <v>-1260</v>
      </c>
      <c r="H171" s="65">
        <f t="shared" si="89"/>
        <v>-1817</v>
      </c>
      <c r="I171" s="65">
        <f t="shared" si="89"/>
        <v>-2132</v>
      </c>
      <c r="J171" s="65">
        <f t="shared" si="89"/>
        <v>-3212</v>
      </c>
      <c r="K171" s="65">
        <f t="shared" si="89"/>
        <v>-4616</v>
      </c>
      <c r="L171" s="65">
        <f t="shared" si="89"/>
        <v>-6890</v>
      </c>
      <c r="M171" s="65">
        <f t="shared" si="89"/>
        <v>-10663</v>
      </c>
      <c r="N171" s="65">
        <f t="shared" si="89"/>
        <v>-15418</v>
      </c>
      <c r="O171" s="65">
        <f t="shared" si="89"/>
        <v>-20080</v>
      </c>
      <c r="P171" s="65">
        <f t="shared" si="89"/>
        <v>-24975</v>
      </c>
      <c r="Q171" s="65">
        <f t="shared" si="89"/>
        <v>-33134</v>
      </c>
      <c r="R171" s="65">
        <f t="shared" ref="R171:AC171" si="90">-R162</f>
        <v>-44642.119253139921</v>
      </c>
      <c r="S171" s="65">
        <f t="shared" si="90"/>
        <v>-58822.020302755664</v>
      </c>
      <c r="T171" s="65">
        <f t="shared" si="90"/>
        <v>-75035.787803314859</v>
      </c>
      <c r="U171" s="65">
        <f t="shared" si="90"/>
        <v>-93613.87273583244</v>
      </c>
      <c r="V171" s="65">
        <f t="shared" si="90"/>
        <v>-114934.96849664228</v>
      </c>
      <c r="W171" s="65">
        <f t="shared" si="90"/>
        <v>-139063.1400286844</v>
      </c>
      <c r="X171" s="65">
        <f t="shared" si="90"/>
        <v>-165953.64959371497</v>
      </c>
      <c r="Y171" s="65">
        <f t="shared" si="90"/>
        <v>-195147.40224585295</v>
      </c>
      <c r="Z171" s="65">
        <f t="shared" si="90"/>
        <v>-226715.95868902563</v>
      </c>
      <c r="AA171" s="65">
        <f t="shared" si="90"/>
        <v>-261287.86226497038</v>
      </c>
      <c r="AB171" s="65">
        <f t="shared" si="90"/>
        <v>-300140.64279897354</v>
      </c>
      <c r="AC171" s="65">
        <f t="shared" si="90"/>
        <v>-344193.14267920767</v>
      </c>
    </row>
    <row r="172" spans="2:29" s="44" customFormat="1" x14ac:dyDescent="0.2">
      <c r="B172" s="110" t="s">
        <v>399</v>
      </c>
      <c r="D172" s="111">
        <f t="shared" ref="D172:AC172" si="91">SUM(D170:D171)</f>
        <v>574</v>
      </c>
      <c r="E172" s="111">
        <f t="shared" si="91"/>
        <v>1475</v>
      </c>
      <c r="F172" s="111">
        <f t="shared" si="91"/>
        <v>2391</v>
      </c>
      <c r="G172" s="111">
        <f t="shared" si="91"/>
        <v>2882</v>
      </c>
      <c r="H172" s="111">
        <f t="shared" si="91"/>
        <v>3967</v>
      </c>
      <c r="I172" s="111">
        <f t="shared" si="91"/>
        <v>5687</v>
      </c>
      <c r="J172" s="111">
        <f t="shared" si="91"/>
        <v>8591</v>
      </c>
      <c r="K172" s="111">
        <f t="shared" si="91"/>
        <v>13721</v>
      </c>
      <c r="L172" s="111">
        <f t="shared" si="91"/>
        <v>24683</v>
      </c>
      <c r="M172" s="111">
        <f t="shared" si="91"/>
        <v>35323</v>
      </c>
      <c r="N172" s="111">
        <f t="shared" si="91"/>
        <v>45633</v>
      </c>
      <c r="O172" s="111">
        <f t="shared" si="91"/>
        <v>57809</v>
      </c>
      <c r="P172" s="111">
        <f t="shared" si="91"/>
        <v>79518</v>
      </c>
      <c r="Q172" s="111">
        <f t="shared" si="91"/>
        <v>96587</v>
      </c>
      <c r="R172" s="111">
        <f t="shared" si="91"/>
        <v>120797.67879727043</v>
      </c>
      <c r="S172" s="111">
        <f t="shared" si="91"/>
        <v>149651.50952110952</v>
      </c>
      <c r="T172" s="111">
        <f t="shared" si="91"/>
        <v>179019.24539747351</v>
      </c>
      <c r="U172" s="111">
        <f t="shared" si="91"/>
        <v>208120.46892870488</v>
      </c>
      <c r="V172" s="111">
        <f t="shared" si="91"/>
        <v>238964.25952191089</v>
      </c>
      <c r="W172" s="111">
        <f t="shared" si="91"/>
        <v>271526.24485646124</v>
      </c>
      <c r="X172" s="111">
        <f t="shared" si="91"/>
        <v>305803.22248048248</v>
      </c>
      <c r="Y172" s="111">
        <f t="shared" si="91"/>
        <v>346708.05658245448</v>
      </c>
      <c r="Z172" s="111">
        <f t="shared" si="91"/>
        <v>395121.56856785086</v>
      </c>
      <c r="AA172" s="111">
        <f t="shared" si="91"/>
        <v>451414.05301154283</v>
      </c>
      <c r="AB172" s="111">
        <f t="shared" si="91"/>
        <v>515346.39333209413</v>
      </c>
      <c r="AC172" s="111">
        <f t="shared" si="91"/>
        <v>587069.16640633345</v>
      </c>
    </row>
    <row r="174" spans="2:29" x14ac:dyDescent="0.2">
      <c r="B174" t="s">
        <v>400</v>
      </c>
      <c r="D174" s="64"/>
      <c r="E174" s="64">
        <f t="shared" ref="E174:AC174" si="92">+D172</f>
        <v>574</v>
      </c>
      <c r="F174" s="64">
        <f t="shared" si="92"/>
        <v>1475</v>
      </c>
      <c r="G174" s="64">
        <f t="shared" si="92"/>
        <v>2391</v>
      </c>
      <c r="H174" s="64">
        <f t="shared" si="92"/>
        <v>2882</v>
      </c>
      <c r="I174" s="64">
        <f t="shared" si="92"/>
        <v>3967</v>
      </c>
      <c r="J174" s="64">
        <f t="shared" si="92"/>
        <v>5687</v>
      </c>
      <c r="K174" s="64">
        <f t="shared" si="92"/>
        <v>8591</v>
      </c>
      <c r="L174" s="64">
        <f t="shared" si="92"/>
        <v>13721</v>
      </c>
      <c r="M174" s="64">
        <f t="shared" si="92"/>
        <v>24683</v>
      </c>
      <c r="N174" s="64">
        <f t="shared" si="92"/>
        <v>35323</v>
      </c>
      <c r="O174" s="64">
        <f t="shared" si="92"/>
        <v>45633</v>
      </c>
      <c r="P174" s="64">
        <f t="shared" si="92"/>
        <v>57809</v>
      </c>
      <c r="Q174" s="64">
        <f t="shared" si="92"/>
        <v>79518</v>
      </c>
      <c r="R174" s="64">
        <f t="shared" si="92"/>
        <v>96587</v>
      </c>
      <c r="S174" s="64">
        <f t="shared" si="92"/>
        <v>120797.67879727043</v>
      </c>
      <c r="T174" s="64">
        <f t="shared" si="92"/>
        <v>149651.50952110952</v>
      </c>
      <c r="U174" s="64">
        <f t="shared" si="92"/>
        <v>179019.24539747351</v>
      </c>
      <c r="V174" s="64">
        <f t="shared" si="92"/>
        <v>208120.46892870488</v>
      </c>
      <c r="W174" s="64">
        <f t="shared" si="92"/>
        <v>238964.25952191089</v>
      </c>
      <c r="X174" s="64">
        <f t="shared" si="92"/>
        <v>271526.24485646124</v>
      </c>
      <c r="Y174" s="64">
        <f t="shared" si="92"/>
        <v>305803.22248048248</v>
      </c>
      <c r="Z174" s="64">
        <f t="shared" si="92"/>
        <v>346708.05658245448</v>
      </c>
      <c r="AA174" s="64">
        <f t="shared" si="92"/>
        <v>395121.56856785086</v>
      </c>
      <c r="AB174" s="64">
        <f t="shared" si="92"/>
        <v>451414.05301154283</v>
      </c>
      <c r="AC174" s="64">
        <f t="shared" si="92"/>
        <v>515346.39333209413</v>
      </c>
    </row>
    <row r="175" spans="2:29" x14ac:dyDescent="0.2">
      <c r="B175" t="s">
        <v>376</v>
      </c>
      <c r="D175" s="64"/>
      <c r="E175" s="64">
        <f t="shared" ref="E175:Q175" si="93">+E156</f>
        <v>606</v>
      </c>
      <c r="F175" s="64">
        <f t="shared" si="93"/>
        <v>1235</v>
      </c>
      <c r="G175" s="64">
        <f t="shared" si="93"/>
        <v>1362</v>
      </c>
      <c r="H175" s="64">
        <f t="shared" si="93"/>
        <v>1831</v>
      </c>
      <c r="I175" s="64">
        <f t="shared" si="93"/>
        <v>2523</v>
      </c>
      <c r="J175" s="64">
        <f t="shared" si="93"/>
        <v>4491</v>
      </c>
      <c r="K175" s="64">
        <f t="shared" si="93"/>
        <v>6733</v>
      </c>
      <c r="L175" s="64">
        <f t="shared" si="93"/>
        <v>13915</v>
      </c>
      <c r="M175" s="64">
        <f t="shared" si="93"/>
        <v>15102</v>
      </c>
      <c r="N175" s="64">
        <f t="shared" si="93"/>
        <v>15115</v>
      </c>
      <c r="O175" s="64">
        <f t="shared" si="93"/>
        <v>18567</v>
      </c>
      <c r="P175" s="64">
        <f t="shared" si="93"/>
        <v>31431</v>
      </c>
      <c r="Q175" s="64">
        <f t="shared" si="93"/>
        <v>27266</v>
      </c>
      <c r="R175" s="64">
        <f t="shared" ref="R175:AC176" si="94">+R156</f>
        <v>37974.480794708994</v>
      </c>
      <c r="S175" s="64">
        <f t="shared" si="94"/>
        <v>45910.518860222342</v>
      </c>
      <c r="T175" s="64">
        <f t="shared" si="94"/>
        <v>49206.592174162841</v>
      </c>
      <c r="U175" s="64">
        <f t="shared" si="94"/>
        <v>52097.001470226278</v>
      </c>
      <c r="V175" s="64">
        <f t="shared" si="94"/>
        <v>57411.661724657599</v>
      </c>
      <c r="W175" s="64">
        <f t="shared" si="94"/>
        <v>62844.013080020246</v>
      </c>
      <c r="X175" s="64">
        <f t="shared" si="94"/>
        <v>68307.1129279655</v>
      </c>
      <c r="Y175" s="64">
        <f t="shared" si="94"/>
        <v>78301.837082446029</v>
      </c>
      <c r="Z175" s="64">
        <f t="shared" si="94"/>
        <v>89404.243777071097</v>
      </c>
      <c r="AA175" s="64">
        <f t="shared" si="94"/>
        <v>101677.3495292665</v>
      </c>
      <c r="AB175" s="64">
        <f t="shared" si="94"/>
        <v>115178.09818372884</v>
      </c>
      <c r="AC175" s="64">
        <f t="shared" si="94"/>
        <v>129955.5524435316</v>
      </c>
    </row>
    <row r="176" spans="2:29" x14ac:dyDescent="0.2">
      <c r="B176" t="s">
        <v>377</v>
      </c>
      <c r="D176" s="64"/>
      <c r="E176" s="64">
        <f t="shared" ref="E176:Q176" si="95">+E157</f>
        <v>0</v>
      </c>
      <c r="F176" s="64">
        <f t="shared" si="95"/>
        <v>0</v>
      </c>
      <c r="G176" s="64">
        <f t="shared" si="95"/>
        <v>0</v>
      </c>
      <c r="H176" s="64">
        <f t="shared" si="95"/>
        <v>0</v>
      </c>
      <c r="I176" s="64">
        <f t="shared" si="95"/>
        <v>0</v>
      </c>
      <c r="J176" s="64">
        <f t="shared" si="95"/>
        <v>0</v>
      </c>
      <c r="K176" s="64">
        <f t="shared" si="95"/>
        <v>0</v>
      </c>
      <c r="L176" s="64">
        <f t="shared" si="95"/>
        <v>0</v>
      </c>
      <c r="M176" s="64">
        <f t="shared" si="95"/>
        <v>0</v>
      </c>
      <c r="N176" s="64">
        <f t="shared" si="95"/>
        <v>0</v>
      </c>
      <c r="O176" s="64">
        <f t="shared" si="95"/>
        <v>0</v>
      </c>
      <c r="P176" s="64">
        <f t="shared" si="95"/>
        <v>-245</v>
      </c>
      <c r="Q176" s="64">
        <f t="shared" si="95"/>
        <v>-221</v>
      </c>
      <c r="R176" s="64">
        <f t="shared" si="94"/>
        <v>0</v>
      </c>
      <c r="S176" s="64">
        <f t="shared" si="94"/>
        <v>0</v>
      </c>
      <c r="T176" s="64">
        <f t="shared" si="94"/>
        <v>0</v>
      </c>
      <c r="U176" s="64">
        <f t="shared" si="94"/>
        <v>0</v>
      </c>
      <c r="V176" s="64">
        <f t="shared" si="94"/>
        <v>0</v>
      </c>
      <c r="W176" s="64">
        <f t="shared" si="94"/>
        <v>0</v>
      </c>
      <c r="X176" s="64">
        <f t="shared" si="94"/>
        <v>0</v>
      </c>
      <c r="Y176" s="64">
        <f t="shared" si="94"/>
        <v>0</v>
      </c>
      <c r="Z176" s="64">
        <f t="shared" si="94"/>
        <v>0</v>
      </c>
      <c r="AA176" s="64">
        <f t="shared" si="94"/>
        <v>0</v>
      </c>
      <c r="AB176" s="64">
        <f t="shared" si="94"/>
        <v>0</v>
      </c>
      <c r="AC176" s="64">
        <f t="shared" si="94"/>
        <v>0</v>
      </c>
    </row>
    <row r="177" spans="2:29" x14ac:dyDescent="0.2">
      <c r="B177" t="s">
        <v>396</v>
      </c>
      <c r="D177" s="64"/>
      <c r="E177" s="64">
        <f t="shared" ref="E177:AC177" si="96">+-E165</f>
        <v>-323</v>
      </c>
      <c r="F177" s="64">
        <f t="shared" si="96"/>
        <v>-649</v>
      </c>
      <c r="G177" s="64">
        <f t="shared" si="96"/>
        <v>-866</v>
      </c>
      <c r="H177" s="64">
        <f t="shared" si="96"/>
        <v>-924</v>
      </c>
      <c r="I177" s="64">
        <f t="shared" si="96"/>
        <v>-1215</v>
      </c>
      <c r="J177" s="64">
        <f t="shared" si="96"/>
        <v>-1591</v>
      </c>
      <c r="K177" s="64">
        <f t="shared" si="96"/>
        <v>-2333</v>
      </c>
      <c r="L177" s="64">
        <f t="shared" si="96"/>
        <v>-3675</v>
      </c>
      <c r="M177" s="64">
        <f t="shared" si="96"/>
        <v>-5179</v>
      </c>
      <c r="N177" s="64">
        <f t="shared" si="96"/>
        <v>-6389</v>
      </c>
      <c r="O177" s="64">
        <f t="shared" si="96"/>
        <v>-7560</v>
      </c>
      <c r="P177" s="64">
        <f t="shared" si="96"/>
        <v>-8501</v>
      </c>
      <c r="Q177" s="64">
        <f t="shared" si="96"/>
        <v>-11017</v>
      </c>
      <c r="R177" s="64">
        <f t="shared" si="96"/>
        <v>-15299.789803690475</v>
      </c>
      <c r="S177" s="64">
        <f t="shared" si="96"/>
        <v>-19288.496718303388</v>
      </c>
      <c r="T177" s="64">
        <f t="shared" si="96"/>
        <v>-22945.03212619586</v>
      </c>
      <c r="U177" s="64">
        <f t="shared" si="96"/>
        <v>-27164.762872132153</v>
      </c>
      <c r="V177" s="64">
        <f t="shared" si="96"/>
        <v>-32033.746342551938</v>
      </c>
      <c r="W177" s="64">
        <f t="shared" si="96"/>
        <v>-37280.689648694912</v>
      </c>
      <c r="X177" s="64">
        <f t="shared" si="96"/>
        <v>-42804.121344889645</v>
      </c>
      <c r="Y177" s="64">
        <f t="shared" si="96"/>
        <v>-48184.564685725054</v>
      </c>
      <c r="Z177" s="64">
        <f t="shared" si="96"/>
        <v>-53900.139050525926</v>
      </c>
      <c r="AA177" s="64">
        <f t="shared" si="96"/>
        <v>-60516.016085783995</v>
      </c>
      <c r="AB177" s="64">
        <f t="shared" si="96"/>
        <v>-68753.109276877411</v>
      </c>
      <c r="AC177" s="64">
        <f t="shared" si="96"/>
        <v>-78398.924589722228</v>
      </c>
    </row>
    <row r="178" spans="2:29" ht="13.5" x14ac:dyDescent="0.35">
      <c r="B178" t="s">
        <v>33</v>
      </c>
      <c r="D178" s="65"/>
      <c r="E178" s="65">
        <f t="shared" ref="E178:AC178" si="97">+E179-SUM(E174:E177)</f>
        <v>618</v>
      </c>
      <c r="F178" s="65">
        <f t="shared" si="97"/>
        <v>330</v>
      </c>
      <c r="G178" s="65">
        <f t="shared" si="97"/>
        <v>-5</v>
      </c>
      <c r="H178" s="65">
        <f t="shared" si="97"/>
        <v>178</v>
      </c>
      <c r="I178" s="65">
        <f t="shared" si="97"/>
        <v>412</v>
      </c>
      <c r="J178" s="65">
        <f t="shared" si="97"/>
        <v>4</v>
      </c>
      <c r="K178" s="65">
        <f t="shared" si="97"/>
        <v>730</v>
      </c>
      <c r="L178" s="65">
        <f t="shared" si="97"/>
        <v>722</v>
      </c>
      <c r="M178" s="65">
        <f t="shared" si="97"/>
        <v>717</v>
      </c>
      <c r="N178" s="65">
        <f t="shared" si="97"/>
        <v>1584</v>
      </c>
      <c r="O178" s="65">
        <f t="shared" si="97"/>
        <v>1169</v>
      </c>
      <c r="P178" s="65">
        <f t="shared" si="97"/>
        <v>-976</v>
      </c>
      <c r="Q178" s="65">
        <f t="shared" si="97"/>
        <v>1041</v>
      </c>
      <c r="R178" s="65">
        <f t="shared" si="97"/>
        <v>1535.9878062519128</v>
      </c>
      <c r="S178" s="65">
        <f t="shared" si="97"/>
        <v>2231.8085819201369</v>
      </c>
      <c r="T178" s="65">
        <f t="shared" si="97"/>
        <v>3106.175828396983</v>
      </c>
      <c r="U178" s="65">
        <f t="shared" si="97"/>
        <v>4168.9849331372534</v>
      </c>
      <c r="V178" s="65">
        <f t="shared" si="97"/>
        <v>5465.875211100356</v>
      </c>
      <c r="W178" s="65">
        <f t="shared" si="97"/>
        <v>6998.6619032250601</v>
      </c>
      <c r="X178" s="65">
        <f t="shared" si="97"/>
        <v>8773.9860409453395</v>
      </c>
      <c r="Y178" s="65">
        <f t="shared" si="97"/>
        <v>10787.561705250992</v>
      </c>
      <c r="Z178" s="65">
        <f t="shared" si="97"/>
        <v>12909.407258851163</v>
      </c>
      <c r="AA178" s="65">
        <f t="shared" si="97"/>
        <v>15131.151000209502</v>
      </c>
      <c r="AB178" s="65">
        <f t="shared" si="97"/>
        <v>17507.351413699915</v>
      </c>
      <c r="AC178" s="65">
        <f t="shared" si="97"/>
        <v>20166.145220429869</v>
      </c>
    </row>
    <row r="179" spans="2:29" s="44" customFormat="1" x14ac:dyDescent="0.2">
      <c r="B179" s="110" t="s">
        <v>399</v>
      </c>
      <c r="D179" s="111"/>
      <c r="E179" s="111">
        <f t="shared" ref="E179:AC179" si="98">+E172</f>
        <v>1475</v>
      </c>
      <c r="F179" s="111">
        <f t="shared" si="98"/>
        <v>2391</v>
      </c>
      <c r="G179" s="111">
        <f t="shared" si="98"/>
        <v>2882</v>
      </c>
      <c r="H179" s="111">
        <f t="shared" si="98"/>
        <v>3967</v>
      </c>
      <c r="I179" s="111">
        <f t="shared" si="98"/>
        <v>5687</v>
      </c>
      <c r="J179" s="111">
        <f t="shared" si="98"/>
        <v>8591</v>
      </c>
      <c r="K179" s="111">
        <f t="shared" si="98"/>
        <v>13721</v>
      </c>
      <c r="L179" s="111">
        <f t="shared" si="98"/>
        <v>24683</v>
      </c>
      <c r="M179" s="111">
        <f t="shared" si="98"/>
        <v>35323</v>
      </c>
      <c r="N179" s="111">
        <f t="shared" si="98"/>
        <v>45633</v>
      </c>
      <c r="O179" s="111">
        <f t="shared" si="98"/>
        <v>57809</v>
      </c>
      <c r="P179" s="111">
        <f t="shared" si="98"/>
        <v>79518</v>
      </c>
      <c r="Q179" s="111">
        <f t="shared" si="98"/>
        <v>96587</v>
      </c>
      <c r="R179" s="111">
        <f t="shared" si="98"/>
        <v>120797.67879727043</v>
      </c>
      <c r="S179" s="111">
        <f t="shared" si="98"/>
        <v>149651.50952110952</v>
      </c>
      <c r="T179" s="111">
        <f t="shared" si="98"/>
        <v>179019.24539747351</v>
      </c>
      <c r="U179" s="111">
        <f t="shared" si="98"/>
        <v>208120.46892870488</v>
      </c>
      <c r="V179" s="111">
        <f t="shared" si="98"/>
        <v>238964.25952191089</v>
      </c>
      <c r="W179" s="111">
        <f t="shared" si="98"/>
        <v>271526.24485646124</v>
      </c>
      <c r="X179" s="111">
        <f t="shared" si="98"/>
        <v>305803.22248048248</v>
      </c>
      <c r="Y179" s="111">
        <f t="shared" si="98"/>
        <v>346708.05658245448</v>
      </c>
      <c r="Z179" s="111">
        <f t="shared" si="98"/>
        <v>395121.56856785086</v>
      </c>
      <c r="AA179" s="111">
        <f t="shared" si="98"/>
        <v>451414.05301154283</v>
      </c>
      <c r="AB179" s="111">
        <f t="shared" si="98"/>
        <v>515346.39333209413</v>
      </c>
      <c r="AC179" s="111">
        <f t="shared" si="98"/>
        <v>587069.16640633345</v>
      </c>
    </row>
    <row r="180" spans="2:29" s="44" customFormat="1" x14ac:dyDescent="0.2">
      <c r="B180" s="110"/>
      <c r="D180" s="111"/>
      <c r="E180" s="111"/>
      <c r="F180" s="111"/>
      <c r="G180" s="111"/>
      <c r="H180" s="111"/>
      <c r="I180" s="111"/>
      <c r="J180" s="111"/>
      <c r="K180" s="111"/>
      <c r="L180" s="111"/>
      <c r="M180" s="111"/>
      <c r="N180" s="111"/>
      <c r="O180" s="111"/>
      <c r="P180" s="111"/>
      <c r="Q180" s="111"/>
    </row>
    <row r="181" spans="2:29" s="44" customFormat="1" x14ac:dyDescent="0.2">
      <c r="B181" s="54" t="s">
        <v>529</v>
      </c>
      <c r="D181" s="111"/>
      <c r="E181" s="111"/>
      <c r="F181" s="111"/>
      <c r="G181" s="111"/>
      <c r="H181" s="111"/>
      <c r="I181" s="111"/>
      <c r="J181" s="111"/>
      <c r="K181" s="111"/>
      <c r="L181" s="111"/>
      <c r="M181" s="111"/>
      <c r="N181" s="111"/>
      <c r="O181" s="111"/>
      <c r="P181" s="111"/>
      <c r="Q181" s="111"/>
    </row>
    <row r="182" spans="2:29" s="44" customFormat="1" x14ac:dyDescent="0.2">
      <c r="B182" t="s">
        <v>401</v>
      </c>
      <c r="D182" s="83">
        <v>0</v>
      </c>
      <c r="E182" s="83">
        <v>0</v>
      </c>
      <c r="F182" s="83">
        <v>0</v>
      </c>
      <c r="G182" s="83">
        <v>0</v>
      </c>
      <c r="H182" s="83">
        <v>0</v>
      </c>
      <c r="I182" s="83">
        <v>0</v>
      </c>
      <c r="J182" s="83">
        <v>0</v>
      </c>
      <c r="K182" s="83">
        <v>0</v>
      </c>
      <c r="L182" s="83">
        <v>0</v>
      </c>
      <c r="M182" s="83">
        <v>0</v>
      </c>
      <c r="N182" s="83">
        <v>0</v>
      </c>
      <c r="O182" s="83">
        <v>0</v>
      </c>
      <c r="P182" s="83">
        <v>0</v>
      </c>
      <c r="Q182" s="83">
        <v>0</v>
      </c>
    </row>
    <row r="183" spans="2:29" s="44" customFormat="1" x14ac:dyDescent="0.2">
      <c r="B183" t="s">
        <v>405</v>
      </c>
      <c r="D183" s="207" t="s">
        <v>410</v>
      </c>
      <c r="E183" s="207" t="s">
        <v>410</v>
      </c>
      <c r="F183" s="207" t="s">
        <v>410</v>
      </c>
      <c r="G183" s="207" t="s">
        <v>403</v>
      </c>
      <c r="H183" s="207" t="s">
        <v>403</v>
      </c>
      <c r="I183" s="207" t="s">
        <v>403</v>
      </c>
      <c r="J183" s="207" t="s">
        <v>415</v>
      </c>
      <c r="K183" s="207" t="s">
        <v>416</v>
      </c>
      <c r="L183" s="207" t="s">
        <v>415</v>
      </c>
      <c r="M183" s="207" t="s">
        <v>416</v>
      </c>
      <c r="N183" s="207" t="s">
        <v>416</v>
      </c>
      <c r="O183" s="207">
        <v>4</v>
      </c>
      <c r="P183" s="207" t="s">
        <v>404</v>
      </c>
      <c r="Q183" s="207" t="s">
        <v>404</v>
      </c>
    </row>
    <row r="184" spans="2:29" s="44" customFormat="1" x14ac:dyDescent="0.2">
      <c r="B184" t="s">
        <v>402</v>
      </c>
      <c r="D184" s="207" t="s">
        <v>412</v>
      </c>
      <c r="E184" s="207" t="s">
        <v>412</v>
      </c>
      <c r="F184" s="207" t="s">
        <v>412</v>
      </c>
      <c r="G184" s="207" t="s">
        <v>412</v>
      </c>
      <c r="H184" s="207" t="s">
        <v>413</v>
      </c>
      <c r="I184" s="207" t="s">
        <v>414</v>
      </c>
      <c r="J184" s="207" t="s">
        <v>414</v>
      </c>
      <c r="K184" s="207" t="s">
        <v>414</v>
      </c>
      <c r="L184" s="207" t="s">
        <v>414</v>
      </c>
      <c r="M184" s="207" t="s">
        <v>414</v>
      </c>
      <c r="N184" s="207" t="s">
        <v>414</v>
      </c>
      <c r="O184" s="207" t="s">
        <v>417</v>
      </c>
      <c r="P184" s="207" t="s">
        <v>417</v>
      </c>
      <c r="Q184" s="207" t="s">
        <v>417</v>
      </c>
    </row>
    <row r="185" spans="2:29" s="44" customFormat="1" x14ac:dyDescent="0.2">
      <c r="B185" t="s">
        <v>407</v>
      </c>
      <c r="D185" s="207" t="s">
        <v>411</v>
      </c>
      <c r="E185" s="207" t="s">
        <v>411</v>
      </c>
      <c r="F185" s="207" t="s">
        <v>411</v>
      </c>
      <c r="G185" s="207" t="s">
        <v>403</v>
      </c>
      <c r="H185" s="207" t="s">
        <v>403</v>
      </c>
      <c r="I185" s="207" t="s">
        <v>403</v>
      </c>
      <c r="J185" s="207" t="s">
        <v>403</v>
      </c>
      <c r="K185" s="207" t="s">
        <v>411</v>
      </c>
      <c r="L185" s="207" t="s">
        <v>411</v>
      </c>
      <c r="M185" s="207" t="s">
        <v>411</v>
      </c>
      <c r="N185" s="207" t="s">
        <v>411</v>
      </c>
      <c r="O185" s="207" t="s">
        <v>418</v>
      </c>
      <c r="P185" s="207" t="s">
        <v>418</v>
      </c>
      <c r="Q185" s="207" t="s">
        <v>418</v>
      </c>
    </row>
    <row r="186" spans="2:29" s="44" customFormat="1" x14ac:dyDescent="0.2">
      <c r="B186" t="s">
        <v>408</v>
      </c>
      <c r="D186" s="207" t="s">
        <v>127</v>
      </c>
      <c r="E186" s="207" t="s">
        <v>127</v>
      </c>
      <c r="F186" s="207" t="s">
        <v>127</v>
      </c>
      <c r="G186" s="207" t="s">
        <v>127</v>
      </c>
      <c r="H186" s="207" t="s">
        <v>127</v>
      </c>
      <c r="I186" s="207" t="s">
        <v>127</v>
      </c>
      <c r="J186" s="207" t="s">
        <v>127</v>
      </c>
      <c r="K186" s="207" t="s">
        <v>127</v>
      </c>
      <c r="L186" s="207" t="s">
        <v>127</v>
      </c>
      <c r="M186" s="207" t="s">
        <v>416</v>
      </c>
      <c r="N186" s="207" t="s">
        <v>416</v>
      </c>
      <c r="O186" s="207" t="s">
        <v>416</v>
      </c>
      <c r="P186" s="207" t="s">
        <v>416</v>
      </c>
      <c r="Q186" s="207" t="s">
        <v>416</v>
      </c>
    </row>
    <row r="188" spans="2:29" x14ac:dyDescent="0.2">
      <c r="B188" s="60" t="s">
        <v>419</v>
      </c>
      <c r="O188" s="209" t="s">
        <v>420</v>
      </c>
      <c r="P188" s="208" t="s">
        <v>421</v>
      </c>
    </row>
    <row r="189" spans="2:29" x14ac:dyDescent="0.2">
      <c r="P189" s="208" t="s">
        <v>422</v>
      </c>
    </row>
    <row r="190" spans="2:29" x14ac:dyDescent="0.2">
      <c r="B190" s="54" t="s">
        <v>530</v>
      </c>
    </row>
    <row r="191" spans="2:29" x14ac:dyDescent="0.2">
      <c r="B191" t="s">
        <v>531</v>
      </c>
      <c r="G191" s="270">
        <f t="shared" ref="G191:Q191" si="99">+G152/G165</f>
        <v>4.7829099307159355</v>
      </c>
      <c r="H191" s="270">
        <f t="shared" si="99"/>
        <v>6.2597402597402594</v>
      </c>
      <c r="I191" s="270">
        <f t="shared" si="99"/>
        <v>6.435390946502058</v>
      </c>
      <c r="J191" s="270">
        <f t="shared" si="99"/>
        <v>7.4186046511627906</v>
      </c>
      <c r="K191" s="270">
        <f t="shared" si="99"/>
        <v>7.8598371195885131</v>
      </c>
      <c r="L191" s="270">
        <f t="shared" si="99"/>
        <v>8.5912925170068029</v>
      </c>
      <c r="M191" s="270">
        <f t="shared" si="99"/>
        <v>8.8793203321104457</v>
      </c>
      <c r="N191" s="270">
        <f t="shared" si="99"/>
        <v>9.5556425105650344</v>
      </c>
      <c r="O191" s="270">
        <f t="shared" si="99"/>
        <v>10.302777777777777</v>
      </c>
      <c r="P191" s="270">
        <f t="shared" si="99"/>
        <v>12.29184801788025</v>
      </c>
      <c r="Q191" s="270">
        <f t="shared" si="99"/>
        <v>11.774621040210583</v>
      </c>
      <c r="R191" s="270">
        <f t="shared" ref="R191:AC191" si="100">+R152/R165</f>
        <v>10.813207251416257</v>
      </c>
      <c r="S191" s="270">
        <f t="shared" si="100"/>
        <v>10.808179241155631</v>
      </c>
      <c r="T191" s="270">
        <f t="shared" si="100"/>
        <v>11.072332860704043</v>
      </c>
      <c r="U191" s="270">
        <f t="shared" si="100"/>
        <v>11.107563982238226</v>
      </c>
      <c r="V191" s="270">
        <f t="shared" si="100"/>
        <v>11.047700266904222</v>
      </c>
      <c r="W191" s="270">
        <f t="shared" si="100"/>
        <v>11.013460017886745</v>
      </c>
      <c r="X191" s="270">
        <f t="shared" si="100"/>
        <v>11.02129554939504</v>
      </c>
      <c r="Y191" s="270">
        <f t="shared" si="100"/>
        <v>11.24541567123123</v>
      </c>
      <c r="Z191" s="270">
        <f t="shared" si="100"/>
        <v>11.536844583535615</v>
      </c>
      <c r="AA191" s="270">
        <f t="shared" si="100"/>
        <v>11.777079215958768</v>
      </c>
      <c r="AB191" s="270">
        <f t="shared" si="100"/>
        <v>11.861093188484013</v>
      </c>
      <c r="AC191" s="270">
        <f t="shared" si="100"/>
        <v>11.878508716274226</v>
      </c>
    </row>
    <row r="192" spans="2:29" x14ac:dyDescent="0.2">
      <c r="B192" t="s">
        <v>532</v>
      </c>
      <c r="G192" s="270">
        <f t="shared" ref="G192:Q192" si="101">+G153/G165</f>
        <v>4.3475750577367203</v>
      </c>
      <c r="H192" s="270">
        <f t="shared" si="101"/>
        <v>5.4610389610389607</v>
      </c>
      <c r="I192" s="270">
        <f t="shared" si="101"/>
        <v>5.9234567901234572</v>
      </c>
      <c r="J192" s="270">
        <f t="shared" si="101"/>
        <v>6.2306725329981143</v>
      </c>
      <c r="K192" s="270">
        <f t="shared" si="101"/>
        <v>6.5773681954564935</v>
      </c>
      <c r="L192" s="270">
        <f t="shared" si="101"/>
        <v>6.6244897959183673</v>
      </c>
      <c r="M192" s="270">
        <f t="shared" si="101"/>
        <v>6.9293299864838769</v>
      </c>
      <c r="N192" s="270">
        <f t="shared" si="101"/>
        <v>7.788855845985287</v>
      </c>
      <c r="O192" s="270">
        <f t="shared" si="101"/>
        <v>8.3600529100529108</v>
      </c>
      <c r="P192" s="270">
        <f t="shared" si="101"/>
        <v>9.3449005999294208</v>
      </c>
      <c r="Q192" s="270">
        <f t="shared" si="101"/>
        <v>9.5717527457565588</v>
      </c>
      <c r="R192" s="270">
        <f t="shared" ref="R192:AC192" si="102">+R153/R165</f>
        <v>9.1262059483691775</v>
      </c>
      <c r="S192" s="270">
        <f t="shared" si="102"/>
        <v>9.2621512373692845</v>
      </c>
      <c r="T192" s="270">
        <f t="shared" si="102"/>
        <v>9.501762572685637</v>
      </c>
      <c r="U192" s="270">
        <f t="shared" si="102"/>
        <v>9.5983826517708781</v>
      </c>
      <c r="V192" s="270">
        <f t="shared" si="102"/>
        <v>9.6413562720370187</v>
      </c>
      <c r="W192" s="270">
        <f t="shared" si="102"/>
        <v>9.7243404187467988</v>
      </c>
      <c r="X192" s="270">
        <f t="shared" si="102"/>
        <v>9.8559194185978658</v>
      </c>
      <c r="Y192" s="270">
        <f t="shared" si="102"/>
        <v>10.188501664128157</v>
      </c>
      <c r="Z192" s="270">
        <f t="shared" si="102"/>
        <v>10.590513404508103</v>
      </c>
      <c r="AA192" s="270">
        <f t="shared" si="102"/>
        <v>10.952160193314429</v>
      </c>
      <c r="AB192" s="270">
        <f t="shared" si="102"/>
        <v>11.17103109632134</v>
      </c>
      <c r="AC192" s="270">
        <f t="shared" si="102"/>
        <v>11.325782720309464</v>
      </c>
    </row>
    <row r="193" spans="2:29" x14ac:dyDescent="0.2">
      <c r="B193" t="s">
        <v>533</v>
      </c>
      <c r="G193" s="270">
        <f t="shared" ref="G193:Q193" si="103">+G172/G165</f>
        <v>3.3279445727482679</v>
      </c>
      <c r="H193" s="270">
        <f t="shared" si="103"/>
        <v>4.2932900432900434</v>
      </c>
      <c r="I193" s="270">
        <f t="shared" si="103"/>
        <v>4.6806584362139914</v>
      </c>
      <c r="J193" s="270">
        <f t="shared" si="103"/>
        <v>5.3997485857950975</v>
      </c>
      <c r="K193" s="270">
        <f t="shared" si="103"/>
        <v>5.8812687526789542</v>
      </c>
      <c r="L193" s="270">
        <f t="shared" si="103"/>
        <v>6.7164625850340132</v>
      </c>
      <c r="M193" s="270">
        <f t="shared" si="103"/>
        <v>6.8204286541803434</v>
      </c>
      <c r="N193" s="270">
        <f t="shared" si="103"/>
        <v>7.1424323055251211</v>
      </c>
      <c r="O193" s="270">
        <f t="shared" si="103"/>
        <v>7.6466931216931213</v>
      </c>
      <c r="P193" s="270">
        <f t="shared" si="103"/>
        <v>9.3539583578402539</v>
      </c>
      <c r="Q193" s="270">
        <f t="shared" si="103"/>
        <v>8.7670872288281743</v>
      </c>
      <c r="R193" s="270">
        <f t="shared" ref="R193:AC193" si="104">+R172/R165</f>
        <v>7.8953815932904332</v>
      </c>
      <c r="S193" s="270">
        <f t="shared" si="104"/>
        <v>7.7585885363010725</v>
      </c>
      <c r="T193" s="270">
        <f t="shared" si="104"/>
        <v>7.8020917300477874</v>
      </c>
      <c r="U193" s="270">
        <f t="shared" si="104"/>
        <v>7.6614130558898408</v>
      </c>
      <c r="V193" s="270">
        <f t="shared" si="104"/>
        <v>7.4597662404688325</v>
      </c>
      <c r="W193" s="270">
        <f t="shared" si="104"/>
        <v>7.2832945799855011</v>
      </c>
      <c r="X193" s="270">
        <f t="shared" si="104"/>
        <v>7.1442471629426896</v>
      </c>
      <c r="Y193" s="270">
        <f t="shared" si="104"/>
        <v>7.195417429705838</v>
      </c>
      <c r="Z193" s="270">
        <f t="shared" si="104"/>
        <v>7.3306224348969558</v>
      </c>
      <c r="AA193" s="270">
        <f t="shared" si="104"/>
        <v>7.4594145849198741</v>
      </c>
      <c r="AB193" s="270">
        <f t="shared" si="104"/>
        <v>7.4956085441420468</v>
      </c>
      <c r="AC193" s="270">
        <f t="shared" si="104"/>
        <v>7.4882298383375501</v>
      </c>
    </row>
  </sheetData>
  <pageMargins left="0.3" right="0.3" top="0.3" bottom="0.3" header="0.3" footer="0.3"/>
  <pageSetup scale="53"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DA98D-40D6-4926-9490-11EB56CD94A4}">
  <sheetPr>
    <pageSetUpPr fitToPage="1"/>
  </sheetPr>
  <dimension ref="B2:AN193"/>
  <sheetViews>
    <sheetView view="pageBreakPreview" zoomScale="85" zoomScaleNormal="85" zoomScaleSheetLayoutView="85" workbookViewId="0">
      <pane xSplit="3" ySplit="6" topLeftCell="D7" activePane="bottomRight" state="frozen"/>
      <selection activeCell="E89" sqref="E89"/>
      <selection pane="topRight" activeCell="E89" sqref="E89"/>
      <selection pane="bottomLeft" activeCell="E89" sqref="E89"/>
      <selection pane="bottomRight" activeCell="AC2" sqref="AC2"/>
    </sheetView>
  </sheetViews>
  <sheetFormatPr defaultRowHeight="11.25" outlineLevelRow="1" outlineLevelCol="1" x14ac:dyDescent="0.2"/>
  <cols>
    <col min="1" max="1" width="2.83203125" customWidth="1"/>
    <col min="2" max="2" width="20.83203125" customWidth="1"/>
    <col min="3" max="3" width="2.83203125" customWidth="1"/>
    <col min="4" max="6" width="9.33203125" hidden="1" customWidth="1" outlineLevel="1"/>
    <col min="7" max="7" width="9.33203125" collapsed="1"/>
  </cols>
  <sheetData>
    <row r="2" spans="2:29" s="44" customFormat="1" x14ac:dyDescent="0.2">
      <c r="B2" s="44" t="s">
        <v>327</v>
      </c>
      <c r="AC2" s="174">
        <f>+'Simple Model - Case 3'!X2</f>
        <v>45657</v>
      </c>
    </row>
    <row r="3" spans="2:29" s="46" customFormat="1" x14ac:dyDescent="0.2">
      <c r="B3" s="46" t="s">
        <v>428</v>
      </c>
    </row>
    <row r="4" spans="2:29" x14ac:dyDescent="0.2">
      <c r="B4" s="76" t="s">
        <v>275</v>
      </c>
    </row>
    <row r="5" spans="2:29" x14ac:dyDescent="0.2">
      <c r="B5" s="76"/>
      <c r="D5" s="162" t="s">
        <v>278</v>
      </c>
      <c r="E5" s="162"/>
      <c r="F5" s="162"/>
      <c r="G5" s="162" t="s">
        <v>278</v>
      </c>
      <c r="H5" s="162"/>
      <c r="I5" s="162"/>
      <c r="J5" s="162"/>
      <c r="K5" s="162"/>
      <c r="L5" s="162"/>
      <c r="M5" s="162"/>
      <c r="N5" s="162"/>
      <c r="O5" s="162"/>
      <c r="P5" s="162"/>
      <c r="Q5" s="162"/>
      <c r="R5" s="162"/>
      <c r="S5" s="162"/>
      <c r="T5" s="162"/>
      <c r="U5" s="162"/>
      <c r="V5" s="162"/>
      <c r="W5" s="162"/>
      <c r="X5" s="162"/>
      <c r="Y5" s="162"/>
      <c r="Z5" s="162"/>
      <c r="AA5" s="162"/>
      <c r="AB5" s="162"/>
      <c r="AC5" s="162"/>
    </row>
    <row r="6" spans="2:29" ht="13.5" x14ac:dyDescent="0.35">
      <c r="D6" s="51" t="s">
        <v>105</v>
      </c>
      <c r="E6" s="51" t="s">
        <v>371</v>
      </c>
      <c r="F6" s="51" t="s">
        <v>106</v>
      </c>
      <c r="G6" s="51" t="s">
        <v>107</v>
      </c>
      <c r="H6" s="51" t="s">
        <v>0</v>
      </c>
      <c r="I6" s="51" t="s">
        <v>1</v>
      </c>
      <c r="J6" s="51" t="s">
        <v>2</v>
      </c>
      <c r="K6" s="51" t="s">
        <v>3</v>
      </c>
      <c r="L6" s="51" t="s">
        <v>4</v>
      </c>
      <c r="M6" s="51" t="s">
        <v>5</v>
      </c>
      <c r="N6" s="51" t="s">
        <v>6</v>
      </c>
      <c r="O6" s="51" t="s">
        <v>321</v>
      </c>
      <c r="P6" s="51" t="s">
        <v>306</v>
      </c>
      <c r="Q6" s="51" t="s">
        <v>357</v>
      </c>
      <c r="R6" s="51" t="s">
        <v>7</v>
      </c>
      <c r="S6" s="51" t="s">
        <v>8</v>
      </c>
      <c r="T6" s="51" t="s">
        <v>9</v>
      </c>
      <c r="U6" s="51" t="s">
        <v>10</v>
      </c>
      <c r="V6" s="51" t="s">
        <v>11</v>
      </c>
      <c r="W6" s="51" t="s">
        <v>12</v>
      </c>
      <c r="X6" s="51" t="s">
        <v>13</v>
      </c>
      <c r="Y6" s="51" t="s">
        <v>14</v>
      </c>
      <c r="Z6" s="51" t="s">
        <v>15</v>
      </c>
      <c r="AA6" s="51" t="s">
        <v>325</v>
      </c>
      <c r="AB6" s="51" t="s">
        <v>346</v>
      </c>
      <c r="AC6" s="51" t="s">
        <v>426</v>
      </c>
    </row>
    <row r="8" spans="2:29" x14ac:dyDescent="0.2">
      <c r="B8" s="52" t="s">
        <v>372</v>
      </c>
      <c r="C8" s="53"/>
    </row>
    <row r="10" spans="2:29" x14ac:dyDescent="0.2">
      <c r="B10" s="54" t="s">
        <v>373</v>
      </c>
    </row>
    <row r="11" spans="2:29" x14ac:dyDescent="0.2">
      <c r="B11" t="s">
        <v>374</v>
      </c>
      <c r="I11" s="205">
        <v>6</v>
      </c>
    </row>
    <row r="12" spans="2:29" x14ac:dyDescent="0.2">
      <c r="B12" s="104" t="s">
        <v>424</v>
      </c>
      <c r="I12" s="205">
        <v>7</v>
      </c>
    </row>
    <row r="13" spans="2:29" x14ac:dyDescent="0.2">
      <c r="B13" s="104" t="s">
        <v>425</v>
      </c>
      <c r="I13" s="205">
        <v>7.5</v>
      </c>
    </row>
    <row r="14" spans="2:29" x14ac:dyDescent="0.2">
      <c r="B14" s="104" t="s">
        <v>423</v>
      </c>
      <c r="I14" s="205">
        <v>8</v>
      </c>
    </row>
    <row r="16" spans="2:29" x14ac:dyDescent="0.2">
      <c r="B16" s="54" t="s">
        <v>375</v>
      </c>
    </row>
    <row r="17" spans="2:34" x14ac:dyDescent="0.2">
      <c r="B17" t="s">
        <v>376</v>
      </c>
      <c r="D17" s="64"/>
      <c r="E17" s="64">
        <f t="shared" ref="E17:Q17" si="0">+E156</f>
        <v>606</v>
      </c>
      <c r="F17" s="64">
        <f t="shared" si="0"/>
        <v>1235</v>
      </c>
      <c r="G17" s="64">
        <f t="shared" si="0"/>
        <v>1362</v>
      </c>
      <c r="H17" s="64">
        <f t="shared" si="0"/>
        <v>1831</v>
      </c>
      <c r="I17" s="64">
        <f t="shared" si="0"/>
        <v>2523</v>
      </c>
      <c r="J17" s="64">
        <f t="shared" si="0"/>
        <v>4491</v>
      </c>
      <c r="K17" s="64">
        <f t="shared" si="0"/>
        <v>6733</v>
      </c>
      <c r="L17" s="64">
        <f t="shared" si="0"/>
        <v>13915</v>
      </c>
      <c r="M17" s="64">
        <f t="shared" si="0"/>
        <v>15102</v>
      </c>
      <c r="N17" s="64">
        <f t="shared" si="0"/>
        <v>15115</v>
      </c>
      <c r="O17" s="64">
        <f t="shared" si="0"/>
        <v>18567</v>
      </c>
      <c r="P17" s="64">
        <f t="shared" si="0"/>
        <v>31431</v>
      </c>
      <c r="Q17" s="64">
        <f t="shared" si="0"/>
        <v>27266</v>
      </c>
      <c r="R17" s="196">
        <f>+'Simple Model - Case 3'!J41</f>
        <v>37974.480794708994</v>
      </c>
      <c r="S17" s="196">
        <f>+'Simple Model - Case 3'!K41</f>
        <v>44690.035124061753</v>
      </c>
      <c r="T17" s="196">
        <f>+'Simple Model - Case 3'!L41</f>
        <v>46892.070582236709</v>
      </c>
      <c r="U17" s="196">
        <f>+'Simple Model - Case 3'!M41</f>
        <v>48963.26584627245</v>
      </c>
      <c r="V17" s="196">
        <f>+'Simple Model - Case 3'!N41</f>
        <v>50889.393716643266</v>
      </c>
      <c r="W17" s="196">
        <f>+'Simple Model - Case 3'!O41</f>
        <v>55162.079674675697</v>
      </c>
      <c r="X17" s="196">
        <f>+'Simple Model - Case 3'!P41</f>
        <v>59666.026876570315</v>
      </c>
      <c r="Y17" s="196">
        <f>+'Simple Model - Case 3'!Q41</f>
        <v>64415.577321885321</v>
      </c>
      <c r="Z17" s="196">
        <f>+'Simple Model - Case 3'!R41</f>
        <v>69425.922419986528</v>
      </c>
      <c r="AA17" s="196">
        <f>+'Simple Model - Case 3'!S41</f>
        <v>74713.154087655872</v>
      </c>
      <c r="AB17" s="196">
        <f>+'Simple Model - Case 3'!T41</f>
        <v>80294.318905436681</v>
      </c>
      <c r="AC17" s="196">
        <f>+'Simple Model - Case 3'!U41</f>
        <v>86187.475516159626</v>
      </c>
    </row>
    <row r="18" spans="2:34" ht="13.5" x14ac:dyDescent="0.35">
      <c r="B18" t="s">
        <v>377</v>
      </c>
      <c r="D18" s="65"/>
      <c r="E18" s="65">
        <f t="shared" ref="E18:Q18" si="1">+E157</f>
        <v>0</v>
      </c>
      <c r="F18" s="65">
        <f t="shared" si="1"/>
        <v>0</v>
      </c>
      <c r="G18" s="65">
        <f t="shared" si="1"/>
        <v>0</v>
      </c>
      <c r="H18" s="65">
        <f t="shared" si="1"/>
        <v>0</v>
      </c>
      <c r="I18" s="65">
        <f t="shared" si="1"/>
        <v>0</v>
      </c>
      <c r="J18" s="65">
        <f t="shared" si="1"/>
        <v>0</v>
      </c>
      <c r="K18" s="65">
        <f t="shared" si="1"/>
        <v>0</v>
      </c>
      <c r="L18" s="65">
        <f t="shared" si="1"/>
        <v>0</v>
      </c>
      <c r="M18" s="65">
        <f t="shared" si="1"/>
        <v>0</v>
      </c>
      <c r="N18" s="65">
        <f t="shared" si="1"/>
        <v>0</v>
      </c>
      <c r="O18" s="65">
        <f t="shared" si="1"/>
        <v>0</v>
      </c>
      <c r="P18" s="65">
        <f t="shared" si="1"/>
        <v>-245</v>
      </c>
      <c r="Q18" s="65">
        <f t="shared" si="1"/>
        <v>-221</v>
      </c>
      <c r="R18" s="71">
        <v>0</v>
      </c>
      <c r="S18" s="71">
        <v>0</v>
      </c>
      <c r="T18" s="71">
        <v>0</v>
      </c>
      <c r="U18" s="71">
        <v>0</v>
      </c>
      <c r="V18" s="71">
        <v>0</v>
      </c>
      <c r="W18" s="71">
        <v>0</v>
      </c>
      <c r="X18" s="71">
        <v>0</v>
      </c>
      <c r="Y18" s="71">
        <v>0</v>
      </c>
      <c r="Z18" s="71">
        <v>0</v>
      </c>
      <c r="AA18" s="71">
        <v>0</v>
      </c>
      <c r="AB18" s="71">
        <v>0</v>
      </c>
      <c r="AC18" s="71">
        <v>0</v>
      </c>
    </row>
    <row r="19" spans="2:34" s="44" customFormat="1" x14ac:dyDescent="0.2">
      <c r="B19" s="110" t="s">
        <v>378</v>
      </c>
      <c r="D19" s="111"/>
      <c r="E19" s="111">
        <f t="shared" ref="E19:Q19" si="2">SUM(E17:E18)</f>
        <v>606</v>
      </c>
      <c r="F19" s="111">
        <f t="shared" si="2"/>
        <v>1235</v>
      </c>
      <c r="G19" s="111">
        <f t="shared" si="2"/>
        <v>1362</v>
      </c>
      <c r="H19" s="111">
        <f t="shared" si="2"/>
        <v>1831</v>
      </c>
      <c r="I19" s="111">
        <f t="shared" si="2"/>
        <v>2523</v>
      </c>
      <c r="J19" s="111">
        <f t="shared" si="2"/>
        <v>4491</v>
      </c>
      <c r="K19" s="111">
        <f t="shared" si="2"/>
        <v>6733</v>
      </c>
      <c r="L19" s="111">
        <f t="shared" si="2"/>
        <v>13915</v>
      </c>
      <c r="M19" s="111">
        <f t="shared" si="2"/>
        <v>15102</v>
      </c>
      <c r="N19" s="111">
        <f t="shared" si="2"/>
        <v>15115</v>
      </c>
      <c r="O19" s="111">
        <f t="shared" si="2"/>
        <v>18567</v>
      </c>
      <c r="P19" s="111">
        <f t="shared" si="2"/>
        <v>31186</v>
      </c>
      <c r="Q19" s="111">
        <f t="shared" si="2"/>
        <v>27045</v>
      </c>
      <c r="R19" s="111">
        <f>SUM(R17:R18)</f>
        <v>37974.480794708994</v>
      </c>
      <c r="S19" s="111">
        <f t="shared" ref="S19:AB19" si="3">SUM(S17:S18)</f>
        <v>44690.035124061753</v>
      </c>
      <c r="T19" s="111">
        <f t="shared" si="3"/>
        <v>46892.070582236709</v>
      </c>
      <c r="U19" s="111">
        <f t="shared" si="3"/>
        <v>48963.26584627245</v>
      </c>
      <c r="V19" s="111">
        <f t="shared" si="3"/>
        <v>50889.393716643266</v>
      </c>
      <c r="W19" s="111">
        <f t="shared" si="3"/>
        <v>55162.079674675697</v>
      </c>
      <c r="X19" s="111">
        <f t="shared" si="3"/>
        <v>59666.026876570315</v>
      </c>
      <c r="Y19" s="111">
        <f t="shared" si="3"/>
        <v>64415.577321885321</v>
      </c>
      <c r="Z19" s="111">
        <f t="shared" si="3"/>
        <v>69425.922419986528</v>
      </c>
      <c r="AA19" s="111">
        <f t="shared" si="3"/>
        <v>74713.154087655872</v>
      </c>
      <c r="AB19" s="111">
        <f t="shared" si="3"/>
        <v>80294.318905436681</v>
      </c>
      <c r="AC19" s="111">
        <f>SUM(AC17:AC18)</f>
        <v>86187.475516159626</v>
      </c>
      <c r="AD19" s="111"/>
    </row>
    <row r="20" spans="2:34" ht="13.5" x14ac:dyDescent="0.35">
      <c r="B20" t="s">
        <v>379</v>
      </c>
      <c r="D20" s="65"/>
      <c r="E20" s="65">
        <f t="shared" ref="E20:Q20" si="4">+E21-E19</f>
        <v>366</v>
      </c>
      <c r="F20" s="65">
        <f t="shared" si="4"/>
        <v>-4</v>
      </c>
      <c r="G20" s="65">
        <f t="shared" si="4"/>
        <v>-426</v>
      </c>
      <c r="H20" s="65">
        <f t="shared" si="4"/>
        <v>-550</v>
      </c>
      <c r="I20" s="65">
        <f t="shared" si="4"/>
        <v>-372</v>
      </c>
      <c r="J20" s="65">
        <f t="shared" si="4"/>
        <v>-1775</v>
      </c>
      <c r="K20" s="65">
        <f t="shared" si="4"/>
        <v>-1301</v>
      </c>
      <c r="L20" s="65">
        <f t="shared" si="4"/>
        <v>-4915</v>
      </c>
      <c r="M20" s="65">
        <f t="shared" si="4"/>
        <v>-3560</v>
      </c>
      <c r="N20" s="65">
        <f t="shared" si="4"/>
        <v>-1239</v>
      </c>
      <c r="O20" s="65">
        <f t="shared" si="4"/>
        <v>-5128</v>
      </c>
      <c r="P20" s="65">
        <f t="shared" si="4"/>
        <v>-14947</v>
      </c>
      <c r="Q20" s="65">
        <f t="shared" si="4"/>
        <v>-1034</v>
      </c>
      <c r="R20" s="71">
        <f>-0.1*R19</f>
        <v>-3797.4480794708998</v>
      </c>
      <c r="S20" s="71">
        <f>-0.15*S19</f>
        <v>-6703.5052686092631</v>
      </c>
      <c r="T20" s="71">
        <f>-0.2*T19</f>
        <v>-9378.4141164473422</v>
      </c>
      <c r="U20" s="71">
        <f t="shared" ref="U20:AC20" si="5">+T20/T19*U19*0.9</f>
        <v>-8813.3878523290423</v>
      </c>
      <c r="V20" s="71">
        <f t="shared" si="5"/>
        <v>-8244.0817820962093</v>
      </c>
      <c r="W20" s="71">
        <f t="shared" si="5"/>
        <v>-8042.6312165677173</v>
      </c>
      <c r="X20" s="71">
        <f t="shared" si="5"/>
        <v>-7829.3760467435586</v>
      </c>
      <c r="Y20" s="71">
        <f t="shared" si="5"/>
        <v>-7607.3508505600139</v>
      </c>
      <c r="Z20" s="71">
        <f t="shared" si="5"/>
        <v>-7379.1563273600141</v>
      </c>
      <c r="AA20" s="71">
        <f t="shared" si="5"/>
        <v>-7147.0139978696288</v>
      </c>
      <c r="AB20" s="71">
        <f t="shared" si="5"/>
        <v>-6912.8142876147185</v>
      </c>
      <c r="AC20" s="71">
        <f t="shared" si="5"/>
        <v>-6678.1587820292189</v>
      </c>
    </row>
    <row r="21" spans="2:34" s="44" customFormat="1" x14ac:dyDescent="0.2">
      <c r="B21" s="110" t="s">
        <v>375</v>
      </c>
      <c r="D21" s="111"/>
      <c r="E21" s="111">
        <f t="shared" ref="E21:P21" si="6">+(E152-E151)-(D152-D151)</f>
        <v>972</v>
      </c>
      <c r="F21" s="111">
        <f t="shared" si="6"/>
        <v>1231</v>
      </c>
      <c r="G21" s="111">
        <f t="shared" si="6"/>
        <v>936</v>
      </c>
      <c r="H21" s="111">
        <f t="shared" si="6"/>
        <v>1281</v>
      </c>
      <c r="I21" s="111">
        <f t="shared" si="6"/>
        <v>2151</v>
      </c>
      <c r="J21" s="111">
        <f t="shared" si="6"/>
        <v>2716</v>
      </c>
      <c r="K21" s="111">
        <f t="shared" si="6"/>
        <v>5432</v>
      </c>
      <c r="L21" s="111">
        <f t="shared" si="6"/>
        <v>9000</v>
      </c>
      <c r="M21" s="111">
        <f t="shared" si="6"/>
        <v>11542</v>
      </c>
      <c r="N21" s="111">
        <f t="shared" si="6"/>
        <v>13876</v>
      </c>
      <c r="O21" s="111">
        <f t="shared" si="6"/>
        <v>13439</v>
      </c>
      <c r="P21" s="111">
        <f t="shared" si="6"/>
        <v>16239</v>
      </c>
      <c r="Q21" s="111">
        <f>+(Q152-Q151)-(P152-P151)</f>
        <v>26011</v>
      </c>
      <c r="R21" s="111">
        <f>+SUM(R19:R20)</f>
        <v>34177.032715238092</v>
      </c>
      <c r="S21" s="111">
        <f t="shared" ref="S21:AB21" si="7">+SUM(S19:S20)</f>
        <v>37986.529855452492</v>
      </c>
      <c r="T21" s="111">
        <f t="shared" si="7"/>
        <v>37513.656465789369</v>
      </c>
      <c r="U21" s="111">
        <f t="shared" si="7"/>
        <v>40149.87799394341</v>
      </c>
      <c r="V21" s="111">
        <f t="shared" si="7"/>
        <v>42645.311934547055</v>
      </c>
      <c r="W21" s="111">
        <f t="shared" si="7"/>
        <v>47119.448458107981</v>
      </c>
      <c r="X21" s="111">
        <f t="shared" si="7"/>
        <v>51836.650829826758</v>
      </c>
      <c r="Y21" s="111">
        <f t="shared" si="7"/>
        <v>56808.22647132531</v>
      </c>
      <c r="Z21" s="111">
        <f t="shared" si="7"/>
        <v>62046.766092626516</v>
      </c>
      <c r="AA21" s="111">
        <f t="shared" si="7"/>
        <v>67566.140089786248</v>
      </c>
      <c r="AB21" s="111">
        <f t="shared" si="7"/>
        <v>73381.504617821964</v>
      </c>
      <c r="AC21" s="111">
        <f>+SUM(AC19:AC20)</f>
        <v>79509.316734130407</v>
      </c>
      <c r="AD21" s="111"/>
    </row>
    <row r="22" spans="2:34" x14ac:dyDescent="0.2">
      <c r="Q22" s="56"/>
    </row>
    <row r="23" spans="2:34" x14ac:dyDescent="0.2">
      <c r="B23" s="54" t="s">
        <v>380</v>
      </c>
    </row>
    <row r="24" spans="2:34" x14ac:dyDescent="0.2">
      <c r="B24" t="s">
        <v>371</v>
      </c>
      <c r="E24" s="64">
        <f>+E62/$I$11</f>
        <v>162</v>
      </c>
      <c r="F24" s="64">
        <f t="shared" ref="F24:N24" si="8">+IF(E116&gt;0,MIN(F62/$I$11,E116),0)</f>
        <v>162</v>
      </c>
      <c r="G24" s="64">
        <f t="shared" si="8"/>
        <v>162</v>
      </c>
      <c r="H24" s="64">
        <f t="shared" si="8"/>
        <v>162</v>
      </c>
      <c r="I24" s="64">
        <f t="shared" si="8"/>
        <v>162</v>
      </c>
      <c r="J24" s="64">
        <f t="shared" si="8"/>
        <v>162</v>
      </c>
      <c r="K24" s="64">
        <f t="shared" si="8"/>
        <v>0</v>
      </c>
      <c r="L24" s="64">
        <f t="shared" si="8"/>
        <v>0</v>
      </c>
      <c r="M24" s="64">
        <f t="shared" si="8"/>
        <v>0</v>
      </c>
      <c r="N24" s="64">
        <f t="shared" si="8"/>
        <v>0</v>
      </c>
      <c r="O24" s="64">
        <f t="shared" ref="O24:O33" si="9">+IF(N116&gt;0,MIN(O62/$I$12,N116),0)</f>
        <v>0</v>
      </c>
      <c r="P24" s="64">
        <f t="shared" ref="P24:P34" si="10">+IF(O116&gt;0,MIN(P62/$I$13,O116),0)</f>
        <v>0</v>
      </c>
      <c r="Q24" s="64">
        <f t="shared" ref="Q24:Q35" si="11">+IF(P116&gt;0,MIN(Q62/$I$14,P116),0)</f>
        <v>0</v>
      </c>
      <c r="R24" s="64">
        <f t="shared" ref="R24:AC24" si="12">+IF(Q116&gt;0,MIN(R62/$I$14,Q116),0)</f>
        <v>0</v>
      </c>
      <c r="S24" s="64">
        <f t="shared" si="12"/>
        <v>0</v>
      </c>
      <c r="T24" s="64">
        <f t="shared" si="12"/>
        <v>0</v>
      </c>
      <c r="U24" s="64">
        <f t="shared" si="12"/>
        <v>0</v>
      </c>
      <c r="V24" s="64">
        <f t="shared" si="12"/>
        <v>0</v>
      </c>
      <c r="W24" s="64">
        <f t="shared" si="12"/>
        <v>0</v>
      </c>
      <c r="X24" s="64">
        <f t="shared" si="12"/>
        <v>0</v>
      </c>
      <c r="Y24" s="64">
        <f t="shared" si="12"/>
        <v>0</v>
      </c>
      <c r="Z24" s="64">
        <f t="shared" si="12"/>
        <v>0</v>
      </c>
      <c r="AA24" s="64">
        <f t="shared" si="12"/>
        <v>0</v>
      </c>
      <c r="AB24" s="64">
        <f t="shared" si="12"/>
        <v>0</v>
      </c>
      <c r="AC24" s="64">
        <f t="shared" si="12"/>
        <v>0</v>
      </c>
    </row>
    <row r="25" spans="2:34" x14ac:dyDescent="0.2">
      <c r="B25" t="s">
        <v>106</v>
      </c>
      <c r="F25" s="64">
        <f>+F63/$I$11</f>
        <v>205.16666666666666</v>
      </c>
      <c r="G25" s="64">
        <f t="shared" ref="G25:N25" si="13">+IF(F117&gt;0,MIN(G63/$I$11,F117),0)</f>
        <v>205.16666666666666</v>
      </c>
      <c r="H25" s="64">
        <f t="shared" si="13"/>
        <v>205.16666666666666</v>
      </c>
      <c r="I25" s="64">
        <f t="shared" si="13"/>
        <v>205.16666666666666</v>
      </c>
      <c r="J25" s="64">
        <f t="shared" si="13"/>
        <v>205.16666666666666</v>
      </c>
      <c r="K25" s="64">
        <f t="shared" si="13"/>
        <v>205.16666666666666</v>
      </c>
      <c r="L25" s="64">
        <f t="shared" si="13"/>
        <v>0</v>
      </c>
      <c r="M25" s="64">
        <f t="shared" si="13"/>
        <v>0</v>
      </c>
      <c r="N25" s="64">
        <f t="shared" si="13"/>
        <v>0</v>
      </c>
      <c r="O25" s="64">
        <f t="shared" si="9"/>
        <v>0</v>
      </c>
      <c r="P25" s="64">
        <f t="shared" si="10"/>
        <v>0</v>
      </c>
      <c r="Q25" s="64">
        <f t="shared" si="11"/>
        <v>0</v>
      </c>
      <c r="R25" s="64">
        <f t="shared" ref="R25:AC25" si="14">+IF(Q117&gt;0,MIN(R63/$I$14,Q117),0)</f>
        <v>0</v>
      </c>
      <c r="S25" s="64">
        <f t="shared" si="14"/>
        <v>0</v>
      </c>
      <c r="T25" s="64">
        <f t="shared" si="14"/>
        <v>0</v>
      </c>
      <c r="U25" s="64">
        <f t="shared" si="14"/>
        <v>0</v>
      </c>
      <c r="V25" s="64">
        <f t="shared" si="14"/>
        <v>0</v>
      </c>
      <c r="W25" s="64">
        <f t="shared" si="14"/>
        <v>0</v>
      </c>
      <c r="X25" s="64">
        <f t="shared" si="14"/>
        <v>0</v>
      </c>
      <c r="Y25" s="64">
        <f t="shared" si="14"/>
        <v>0</v>
      </c>
      <c r="Z25" s="64">
        <f t="shared" si="14"/>
        <v>0</v>
      </c>
      <c r="AA25" s="64">
        <f t="shared" si="14"/>
        <v>0</v>
      </c>
      <c r="AB25" s="64">
        <f t="shared" si="14"/>
        <v>0</v>
      </c>
      <c r="AC25" s="64">
        <f t="shared" si="14"/>
        <v>0</v>
      </c>
    </row>
    <row r="26" spans="2:34" x14ac:dyDescent="0.2">
      <c r="B26" t="s">
        <v>107</v>
      </c>
      <c r="G26" s="64">
        <f>+G64/$I$11</f>
        <v>156</v>
      </c>
      <c r="H26" s="64">
        <f t="shared" ref="H26:N26" si="15">+IF(G118&gt;0,MIN(H64/$I$11,G118),0)</f>
        <v>156</v>
      </c>
      <c r="I26" s="64">
        <f t="shared" si="15"/>
        <v>156</v>
      </c>
      <c r="J26" s="64">
        <f t="shared" si="15"/>
        <v>156</v>
      </c>
      <c r="K26" s="64">
        <f t="shared" si="15"/>
        <v>156</v>
      </c>
      <c r="L26" s="64">
        <f t="shared" si="15"/>
        <v>156</v>
      </c>
      <c r="M26" s="64">
        <f t="shared" si="15"/>
        <v>0</v>
      </c>
      <c r="N26" s="64">
        <f t="shared" si="15"/>
        <v>0</v>
      </c>
      <c r="O26" s="64">
        <f t="shared" si="9"/>
        <v>0</v>
      </c>
      <c r="P26" s="64">
        <f t="shared" si="10"/>
        <v>0</v>
      </c>
      <c r="Q26" s="64">
        <f t="shared" si="11"/>
        <v>0</v>
      </c>
      <c r="R26" s="64">
        <f t="shared" ref="R26:AC26" si="16">+IF(Q118&gt;0,MIN(R64/$I$14,Q118),0)</f>
        <v>0</v>
      </c>
      <c r="S26" s="64">
        <f t="shared" si="16"/>
        <v>0</v>
      </c>
      <c r="T26" s="64">
        <f t="shared" si="16"/>
        <v>0</v>
      </c>
      <c r="U26" s="64">
        <f t="shared" si="16"/>
        <v>0</v>
      </c>
      <c r="V26" s="64">
        <f t="shared" si="16"/>
        <v>0</v>
      </c>
      <c r="W26" s="64">
        <f t="shared" si="16"/>
        <v>0</v>
      </c>
      <c r="X26" s="64">
        <f t="shared" si="16"/>
        <v>0</v>
      </c>
      <c r="Y26" s="64">
        <f t="shared" si="16"/>
        <v>0</v>
      </c>
      <c r="Z26" s="64">
        <f t="shared" si="16"/>
        <v>0</v>
      </c>
      <c r="AA26" s="64">
        <f t="shared" si="16"/>
        <v>0</v>
      </c>
      <c r="AB26" s="64">
        <f t="shared" si="16"/>
        <v>0</v>
      </c>
      <c r="AC26" s="64">
        <f t="shared" si="16"/>
        <v>0</v>
      </c>
    </row>
    <row r="27" spans="2:34" x14ac:dyDescent="0.2">
      <c r="B27" t="s">
        <v>0</v>
      </c>
      <c r="H27" s="64">
        <f>+H65/$I$11</f>
        <v>213.5</v>
      </c>
      <c r="I27" s="64">
        <f t="shared" ref="I27:N27" si="17">+IF(H119&gt;0,MIN(I65/$I$11,H119),0)</f>
        <v>213.5</v>
      </c>
      <c r="J27" s="64">
        <f t="shared" si="17"/>
        <v>213.5</v>
      </c>
      <c r="K27" s="64">
        <f t="shared" si="17"/>
        <v>213.5</v>
      </c>
      <c r="L27" s="64">
        <f t="shared" si="17"/>
        <v>213.5</v>
      </c>
      <c r="M27" s="64">
        <f t="shared" si="17"/>
        <v>213.5</v>
      </c>
      <c r="N27" s="64">
        <f t="shared" si="17"/>
        <v>0</v>
      </c>
      <c r="O27" s="64">
        <f t="shared" si="9"/>
        <v>0</v>
      </c>
      <c r="P27" s="64">
        <f t="shared" si="10"/>
        <v>0</v>
      </c>
      <c r="Q27" s="64">
        <f t="shared" si="11"/>
        <v>0</v>
      </c>
      <c r="R27" s="64">
        <f t="shared" ref="R27:AC27" si="18">+IF(Q119&gt;0,MIN(R65/$I$14,Q119),0)</f>
        <v>0</v>
      </c>
      <c r="S27" s="64">
        <f t="shared" si="18"/>
        <v>0</v>
      </c>
      <c r="T27" s="64">
        <f t="shared" si="18"/>
        <v>0</v>
      </c>
      <c r="U27" s="64">
        <f t="shared" si="18"/>
        <v>0</v>
      </c>
      <c r="V27" s="64">
        <f t="shared" si="18"/>
        <v>0</v>
      </c>
      <c r="W27" s="64">
        <f t="shared" si="18"/>
        <v>0</v>
      </c>
      <c r="X27" s="64">
        <f t="shared" si="18"/>
        <v>0</v>
      </c>
      <c r="Y27" s="64">
        <f t="shared" si="18"/>
        <v>0</v>
      </c>
      <c r="Z27" s="64">
        <f t="shared" si="18"/>
        <v>0</v>
      </c>
      <c r="AA27" s="64">
        <f t="shared" si="18"/>
        <v>0</v>
      </c>
      <c r="AB27" s="64">
        <f t="shared" si="18"/>
        <v>0</v>
      </c>
      <c r="AC27" s="64">
        <f t="shared" si="18"/>
        <v>0</v>
      </c>
    </row>
    <row r="28" spans="2:34" x14ac:dyDescent="0.2">
      <c r="B28" t="s">
        <v>1</v>
      </c>
      <c r="I28" s="64">
        <f>+I66/$I$11</f>
        <v>358.5</v>
      </c>
      <c r="J28" s="64">
        <f>+IF(I120&gt;0,MIN(J66/$I$11,I120),0)</f>
        <v>358.5</v>
      </c>
      <c r="K28" s="64">
        <f>+IF(J120&gt;0,MIN(K66/$I$11,J120),0)</f>
        <v>358.5</v>
      </c>
      <c r="L28" s="64">
        <f>+IF(K120&gt;0,MIN(L66/$I$11,K120),0)</f>
        <v>358.5</v>
      </c>
      <c r="M28" s="64">
        <f>+IF(L120&gt;0,MIN(M66/$I$11,L120),0)</f>
        <v>358.5</v>
      </c>
      <c r="N28" s="64">
        <f>+IF(M120&gt;0,MIN(N66/$I$11,M120),0)</f>
        <v>358.5</v>
      </c>
      <c r="O28" s="64">
        <f t="shared" si="9"/>
        <v>0</v>
      </c>
      <c r="P28" s="64">
        <f t="shared" si="10"/>
        <v>0</v>
      </c>
      <c r="Q28" s="64">
        <f t="shared" si="11"/>
        <v>0</v>
      </c>
      <c r="R28" s="64">
        <f t="shared" ref="R28:AC28" si="19">+IF(Q120&gt;0,MIN(R66/$I$14,Q120),0)</f>
        <v>0</v>
      </c>
      <c r="S28" s="64">
        <f t="shared" si="19"/>
        <v>0</v>
      </c>
      <c r="T28" s="64">
        <f t="shared" si="19"/>
        <v>0</v>
      </c>
      <c r="U28" s="64">
        <f t="shared" si="19"/>
        <v>0</v>
      </c>
      <c r="V28" s="64">
        <f t="shared" si="19"/>
        <v>0</v>
      </c>
      <c r="W28" s="64">
        <f t="shared" si="19"/>
        <v>0</v>
      </c>
      <c r="X28" s="64">
        <f t="shared" si="19"/>
        <v>0</v>
      </c>
      <c r="Y28" s="64">
        <f t="shared" si="19"/>
        <v>0</v>
      </c>
      <c r="Z28" s="64">
        <f t="shared" si="19"/>
        <v>0</v>
      </c>
      <c r="AA28" s="64">
        <f t="shared" si="19"/>
        <v>0</v>
      </c>
      <c r="AB28" s="64">
        <f t="shared" si="19"/>
        <v>0</v>
      </c>
      <c r="AC28" s="64">
        <f t="shared" si="19"/>
        <v>0</v>
      </c>
      <c r="AD28" s="64"/>
    </row>
    <row r="29" spans="2:34" x14ac:dyDescent="0.2">
      <c r="B29" t="s">
        <v>2</v>
      </c>
      <c r="J29" s="64">
        <f>+J67/$I$11</f>
        <v>452.66666666666669</v>
      </c>
      <c r="K29" s="64">
        <f>+IF(J121&gt;0,MIN(K67/$I$11,J121),0)</f>
        <v>452.66666666666669</v>
      </c>
      <c r="L29" s="64">
        <f>+IF(K121&gt;0,MIN(L67/$I$11,K121),0)</f>
        <v>452.66666666666669</v>
      </c>
      <c r="M29" s="64">
        <f>+IF(L121&gt;0,MIN(M67/$I$11,L121),0)</f>
        <v>452.66666666666669</v>
      </c>
      <c r="N29" s="64">
        <f>+IF(M121&gt;0,MIN(N67/$I$11,M121),0)</f>
        <v>452.66666666666669</v>
      </c>
      <c r="O29" s="64">
        <f t="shared" si="9"/>
        <v>388</v>
      </c>
      <c r="P29" s="64">
        <f t="shared" si="10"/>
        <v>64.666666666666515</v>
      </c>
      <c r="Q29" s="64">
        <f t="shared" si="11"/>
        <v>0</v>
      </c>
      <c r="R29" s="64">
        <f t="shared" ref="R29:AC29" si="20">+IF(Q121&gt;0,MIN(R67/$I$14,Q121),0)</f>
        <v>0</v>
      </c>
      <c r="S29" s="64">
        <f t="shared" si="20"/>
        <v>0</v>
      </c>
      <c r="T29" s="64">
        <f t="shared" si="20"/>
        <v>0</v>
      </c>
      <c r="U29" s="64">
        <f t="shared" si="20"/>
        <v>0</v>
      </c>
      <c r="V29" s="64">
        <f t="shared" si="20"/>
        <v>0</v>
      </c>
      <c r="W29" s="64">
        <f t="shared" si="20"/>
        <v>0</v>
      </c>
      <c r="X29" s="64">
        <f t="shared" si="20"/>
        <v>0</v>
      </c>
      <c r="Y29" s="64">
        <f t="shared" si="20"/>
        <v>0</v>
      </c>
      <c r="Z29" s="64">
        <f t="shared" si="20"/>
        <v>0</v>
      </c>
      <c r="AA29" s="64">
        <f t="shared" si="20"/>
        <v>0</v>
      </c>
      <c r="AB29" s="64">
        <f t="shared" si="20"/>
        <v>0</v>
      </c>
      <c r="AC29" s="64">
        <f t="shared" si="20"/>
        <v>0</v>
      </c>
      <c r="AD29" s="64"/>
      <c r="AE29" s="64"/>
    </row>
    <row r="30" spans="2:34" x14ac:dyDescent="0.2">
      <c r="B30" t="s">
        <v>3</v>
      </c>
      <c r="K30" s="64">
        <f>+K68/$I$11</f>
        <v>905.33333333333337</v>
      </c>
      <c r="L30" s="64">
        <f>+IF(K122&gt;0,MIN(L68/$I$11,K122),0)</f>
        <v>905.33333333333337</v>
      </c>
      <c r="M30" s="64">
        <f>+IF(L122&gt;0,MIN(M68/$I$11,L122),0)</f>
        <v>905.33333333333337</v>
      </c>
      <c r="N30" s="64">
        <f>+IF(M122&gt;0,MIN(N68/$I$11,M122),0)</f>
        <v>905.33333333333337</v>
      </c>
      <c r="O30" s="64">
        <f t="shared" si="9"/>
        <v>776</v>
      </c>
      <c r="P30" s="64">
        <f t="shared" si="10"/>
        <v>724.26666666666665</v>
      </c>
      <c r="Q30" s="64">
        <f t="shared" si="11"/>
        <v>310.39999999999964</v>
      </c>
      <c r="R30" s="64">
        <f t="shared" ref="R30:AC30" si="21">+IF(Q122&gt;0,MIN(R68/$I$14,Q122),0)</f>
        <v>0</v>
      </c>
      <c r="S30" s="64">
        <f t="shared" si="21"/>
        <v>0</v>
      </c>
      <c r="T30" s="64">
        <f t="shared" si="21"/>
        <v>0</v>
      </c>
      <c r="U30" s="64">
        <f t="shared" si="21"/>
        <v>0</v>
      </c>
      <c r="V30" s="64">
        <f t="shared" si="21"/>
        <v>0</v>
      </c>
      <c r="W30" s="64">
        <f t="shared" si="21"/>
        <v>0</v>
      </c>
      <c r="X30" s="64">
        <f t="shared" si="21"/>
        <v>0</v>
      </c>
      <c r="Y30" s="64">
        <f t="shared" si="21"/>
        <v>0</v>
      </c>
      <c r="Z30" s="64">
        <f t="shared" si="21"/>
        <v>0</v>
      </c>
      <c r="AA30" s="64">
        <f t="shared" si="21"/>
        <v>0</v>
      </c>
      <c r="AB30" s="64">
        <f t="shared" si="21"/>
        <v>0</v>
      </c>
      <c r="AC30" s="64">
        <f t="shared" si="21"/>
        <v>0</v>
      </c>
      <c r="AD30" s="64"/>
      <c r="AE30" s="64"/>
      <c r="AF30" s="64"/>
    </row>
    <row r="31" spans="2:34" x14ac:dyDescent="0.2">
      <c r="B31" t="s">
        <v>4</v>
      </c>
      <c r="L31" s="64">
        <f>+L69/$I$11</f>
        <v>1500</v>
      </c>
      <c r="M31" s="64">
        <f>+IF(L123&gt;0,MIN(M69/$I$11,L123),0)</f>
        <v>1500</v>
      </c>
      <c r="N31" s="64">
        <f>+IF(M123&gt;0,MIN(N69/$I$11,M123),0)</f>
        <v>1500</v>
      </c>
      <c r="O31" s="64">
        <f t="shared" si="9"/>
        <v>1285.7142857142858</v>
      </c>
      <c r="P31" s="64">
        <f t="shared" si="10"/>
        <v>1200</v>
      </c>
      <c r="Q31" s="64">
        <f t="shared" si="11"/>
        <v>1125</v>
      </c>
      <c r="R31" s="64">
        <f t="shared" ref="R31:AC31" si="22">+IF(Q123&gt;0,MIN(R69/$I$14,Q123),0)</f>
        <v>889.28571428571377</v>
      </c>
      <c r="S31" s="64">
        <f t="shared" si="22"/>
        <v>0</v>
      </c>
      <c r="T31" s="64">
        <f t="shared" si="22"/>
        <v>0</v>
      </c>
      <c r="U31" s="64">
        <f t="shared" si="22"/>
        <v>0</v>
      </c>
      <c r="V31" s="64">
        <f t="shared" si="22"/>
        <v>0</v>
      </c>
      <c r="W31" s="64">
        <f t="shared" si="22"/>
        <v>0</v>
      </c>
      <c r="X31" s="64">
        <f t="shared" si="22"/>
        <v>0</v>
      </c>
      <c r="Y31" s="64">
        <f t="shared" si="22"/>
        <v>0</v>
      </c>
      <c r="Z31" s="64">
        <f t="shared" si="22"/>
        <v>0</v>
      </c>
      <c r="AA31" s="64">
        <f t="shared" si="22"/>
        <v>0</v>
      </c>
      <c r="AB31" s="64">
        <f t="shared" si="22"/>
        <v>0</v>
      </c>
      <c r="AC31" s="64">
        <f t="shared" si="22"/>
        <v>0</v>
      </c>
      <c r="AD31" s="64"/>
      <c r="AE31" s="64"/>
      <c r="AF31" s="64"/>
      <c r="AG31" s="64"/>
    </row>
    <row r="32" spans="2:34" x14ac:dyDescent="0.2">
      <c r="B32" t="s">
        <v>5</v>
      </c>
      <c r="M32" s="64">
        <f>+M70/$I$11</f>
        <v>1923.6666666666667</v>
      </c>
      <c r="N32" s="64">
        <f>+IF(M124&gt;0,MIN(N70/$I$11,M124),0)</f>
        <v>1923.6666666666667</v>
      </c>
      <c r="O32" s="64">
        <f t="shared" si="9"/>
        <v>1648.8571428571429</v>
      </c>
      <c r="P32" s="64">
        <f t="shared" si="10"/>
        <v>1538.9333333333334</v>
      </c>
      <c r="Q32" s="64">
        <f t="shared" si="11"/>
        <v>1442.75</v>
      </c>
      <c r="R32" s="64">
        <f t="shared" ref="R32:AC32" si="23">+IF(Q124&gt;0,MIN(R70/$I$14,Q124),0)</f>
        <v>1442.75</v>
      </c>
      <c r="S32" s="64">
        <f t="shared" si="23"/>
        <v>1442.75</v>
      </c>
      <c r="T32" s="64">
        <f t="shared" si="23"/>
        <v>178.62619047619046</v>
      </c>
      <c r="U32" s="64">
        <f t="shared" si="23"/>
        <v>0</v>
      </c>
      <c r="V32" s="64">
        <f t="shared" si="23"/>
        <v>0</v>
      </c>
      <c r="W32" s="64">
        <f t="shared" si="23"/>
        <v>0</v>
      </c>
      <c r="X32" s="64">
        <f t="shared" si="23"/>
        <v>0</v>
      </c>
      <c r="Y32" s="64">
        <f t="shared" si="23"/>
        <v>0</v>
      </c>
      <c r="Z32" s="64">
        <f t="shared" si="23"/>
        <v>0</v>
      </c>
      <c r="AA32" s="64">
        <f t="shared" si="23"/>
        <v>0</v>
      </c>
      <c r="AB32" s="64">
        <f t="shared" si="23"/>
        <v>0</v>
      </c>
      <c r="AC32" s="64">
        <f t="shared" si="23"/>
        <v>0</v>
      </c>
      <c r="AD32" s="64"/>
      <c r="AE32" s="64"/>
      <c r="AF32" s="64"/>
      <c r="AG32" s="64"/>
      <c r="AH32" s="64"/>
    </row>
    <row r="33" spans="2:40" x14ac:dyDescent="0.2">
      <c r="B33" t="s">
        <v>6</v>
      </c>
      <c r="N33" s="64">
        <f>+N71/$I$11</f>
        <v>2312.6666666666665</v>
      </c>
      <c r="O33" s="64">
        <f t="shared" si="9"/>
        <v>1982.2857142857142</v>
      </c>
      <c r="P33" s="64">
        <f t="shared" si="10"/>
        <v>1850.1333333333334</v>
      </c>
      <c r="Q33" s="64">
        <f t="shared" si="11"/>
        <v>1734.5</v>
      </c>
      <c r="R33" s="64">
        <f t="shared" ref="R33:AC33" si="24">+IF(Q125&gt;0,MIN(R71/$I$14,Q125),0)</f>
        <v>1734.5</v>
      </c>
      <c r="S33" s="64">
        <f t="shared" si="24"/>
        <v>1734.5</v>
      </c>
      <c r="T33" s="64">
        <f t="shared" si="24"/>
        <v>1734.5</v>
      </c>
      <c r="U33" s="64">
        <f t="shared" si="24"/>
        <v>792.91428571428696</v>
      </c>
      <c r="V33" s="64">
        <f t="shared" si="24"/>
        <v>0</v>
      </c>
      <c r="W33" s="64">
        <f t="shared" si="24"/>
        <v>0</v>
      </c>
      <c r="X33" s="64">
        <f t="shared" si="24"/>
        <v>0</v>
      </c>
      <c r="Y33" s="64">
        <f t="shared" si="24"/>
        <v>0</v>
      </c>
      <c r="Z33" s="64">
        <f t="shared" si="24"/>
        <v>0</v>
      </c>
      <c r="AA33" s="64">
        <f t="shared" si="24"/>
        <v>0</v>
      </c>
      <c r="AB33" s="64">
        <f t="shared" si="24"/>
        <v>0</v>
      </c>
      <c r="AC33" s="64">
        <f t="shared" si="24"/>
        <v>0</v>
      </c>
      <c r="AD33" s="64"/>
      <c r="AE33" s="64"/>
      <c r="AF33" s="64"/>
      <c r="AG33" s="64"/>
      <c r="AH33" s="64"/>
      <c r="AI33" s="64"/>
    </row>
    <row r="34" spans="2:40" x14ac:dyDescent="0.2">
      <c r="B34" t="s">
        <v>321</v>
      </c>
      <c r="O34" s="64">
        <f>+O72/$I$12</f>
        <v>1919.8571428571429</v>
      </c>
      <c r="P34" s="64">
        <f t="shared" si="10"/>
        <v>1791.8666666666666</v>
      </c>
      <c r="Q34" s="64">
        <f t="shared" si="11"/>
        <v>1679.875</v>
      </c>
      <c r="R34" s="64">
        <f t="shared" ref="R34:AC34" si="25">+IF(Q126&gt;0,MIN(R72/$I$14,Q126),0)</f>
        <v>1679.875</v>
      </c>
      <c r="S34" s="64">
        <f t="shared" si="25"/>
        <v>1679.875</v>
      </c>
      <c r="T34" s="64">
        <f t="shared" si="25"/>
        <v>1679.875</v>
      </c>
      <c r="U34" s="64">
        <f t="shared" si="25"/>
        <v>1679.875</v>
      </c>
      <c r="V34" s="64">
        <f t="shared" si="25"/>
        <v>1327.9011904761901</v>
      </c>
      <c r="W34" s="64">
        <f t="shared" si="25"/>
        <v>0</v>
      </c>
      <c r="X34" s="64">
        <f t="shared" si="25"/>
        <v>0</v>
      </c>
      <c r="Y34" s="64">
        <f t="shared" si="25"/>
        <v>0</v>
      </c>
      <c r="Z34" s="64">
        <f t="shared" si="25"/>
        <v>0</v>
      </c>
      <c r="AA34" s="64">
        <f t="shared" si="25"/>
        <v>0</v>
      </c>
      <c r="AB34" s="64">
        <f t="shared" si="25"/>
        <v>0</v>
      </c>
      <c r="AC34" s="64">
        <f t="shared" si="25"/>
        <v>0</v>
      </c>
      <c r="AD34" s="64"/>
      <c r="AE34" s="64"/>
      <c r="AF34" s="64"/>
      <c r="AG34" s="64"/>
      <c r="AH34" s="64"/>
      <c r="AI34" s="64"/>
      <c r="AJ34" s="64"/>
    </row>
    <row r="35" spans="2:40" x14ac:dyDescent="0.2">
      <c r="B35" t="s">
        <v>306</v>
      </c>
      <c r="P35" s="64">
        <f>+P73/$I$13</f>
        <v>2165.1999999999998</v>
      </c>
      <c r="Q35" s="64">
        <f t="shared" si="11"/>
        <v>2029.875</v>
      </c>
      <c r="R35" s="64">
        <f t="shared" ref="R35:AC35" si="26">+IF(Q127&gt;0,MIN(R73/$I$14,Q127),0)</f>
        <v>2029.875</v>
      </c>
      <c r="S35" s="64">
        <f t="shared" si="26"/>
        <v>2029.875</v>
      </c>
      <c r="T35" s="64">
        <f t="shared" si="26"/>
        <v>2029.875</v>
      </c>
      <c r="U35" s="64">
        <f t="shared" si="26"/>
        <v>2029.875</v>
      </c>
      <c r="V35" s="64">
        <f t="shared" si="26"/>
        <v>2029.875</v>
      </c>
      <c r="W35" s="64">
        <f t="shared" si="26"/>
        <v>1894.5499999999993</v>
      </c>
      <c r="X35" s="64">
        <f t="shared" si="26"/>
        <v>0</v>
      </c>
      <c r="Y35" s="64">
        <f t="shared" si="26"/>
        <v>0</v>
      </c>
      <c r="Z35" s="64">
        <f t="shared" si="26"/>
        <v>0</v>
      </c>
      <c r="AA35" s="64">
        <f t="shared" si="26"/>
        <v>0</v>
      </c>
      <c r="AB35" s="64">
        <f t="shared" si="26"/>
        <v>0</v>
      </c>
      <c r="AC35" s="64">
        <f t="shared" si="26"/>
        <v>0</v>
      </c>
      <c r="AD35" s="64"/>
      <c r="AE35" s="64"/>
      <c r="AF35" s="64"/>
      <c r="AG35" s="64"/>
      <c r="AH35" s="64"/>
      <c r="AI35" s="64"/>
      <c r="AJ35" s="64"/>
      <c r="AK35" s="64"/>
    </row>
    <row r="36" spans="2:40" x14ac:dyDescent="0.2">
      <c r="B36" t="s">
        <v>357</v>
      </c>
      <c r="Q36" s="64">
        <f>+Q74/$I$14</f>
        <v>3251.375</v>
      </c>
      <c r="R36" s="64">
        <f t="shared" ref="R36:AC36" si="27">+IF(Q128&gt;0,MIN(R74/$I$14,Q128),0)</f>
        <v>3251.375</v>
      </c>
      <c r="S36" s="64">
        <f t="shared" si="27"/>
        <v>3251.375</v>
      </c>
      <c r="T36" s="64">
        <f t="shared" si="27"/>
        <v>3251.375</v>
      </c>
      <c r="U36" s="64">
        <f t="shared" si="27"/>
        <v>3251.375</v>
      </c>
      <c r="V36" s="64">
        <f t="shared" si="27"/>
        <v>3251.375</v>
      </c>
      <c r="W36" s="64">
        <f t="shared" si="27"/>
        <v>3251.375</v>
      </c>
      <c r="X36" s="64">
        <f t="shared" si="27"/>
        <v>3251.375</v>
      </c>
      <c r="Y36" s="64">
        <f t="shared" si="27"/>
        <v>0</v>
      </c>
      <c r="Z36" s="64">
        <f t="shared" si="27"/>
        <v>0</v>
      </c>
      <c r="AA36" s="64">
        <f t="shared" si="27"/>
        <v>0</v>
      </c>
      <c r="AB36" s="64">
        <f t="shared" si="27"/>
        <v>0</v>
      </c>
      <c r="AC36" s="64">
        <f t="shared" si="27"/>
        <v>0</v>
      </c>
      <c r="AD36" s="64"/>
      <c r="AE36" s="64"/>
      <c r="AF36" s="64"/>
      <c r="AG36" s="64"/>
      <c r="AH36" s="64"/>
      <c r="AI36" s="64"/>
      <c r="AJ36" s="64"/>
      <c r="AK36" s="64"/>
      <c r="AL36" s="64"/>
    </row>
    <row r="37" spans="2:40" x14ac:dyDescent="0.2">
      <c r="B37" t="s">
        <v>7</v>
      </c>
      <c r="R37" s="64">
        <f>+R75/$I$14</f>
        <v>4272.1290894047615</v>
      </c>
      <c r="S37" s="64">
        <f t="shared" ref="S37:AC37" si="28">+IF(R129&gt;0,MIN(S75/$I$14,R129),0)</f>
        <v>4272.1290894047615</v>
      </c>
      <c r="T37" s="64">
        <f t="shared" si="28"/>
        <v>4272.1290894047615</v>
      </c>
      <c r="U37" s="64">
        <f t="shared" si="28"/>
        <v>4272.1290894047615</v>
      </c>
      <c r="V37" s="64">
        <f t="shared" si="28"/>
        <v>4272.1290894047615</v>
      </c>
      <c r="W37" s="64">
        <f t="shared" si="28"/>
        <v>4272.1290894047615</v>
      </c>
      <c r="X37" s="64">
        <f t="shared" si="28"/>
        <v>4272.1290894047615</v>
      </c>
      <c r="Y37" s="64">
        <f t="shared" si="28"/>
        <v>4272.1290894047561</v>
      </c>
      <c r="Z37" s="64">
        <f t="shared" si="28"/>
        <v>0</v>
      </c>
      <c r="AA37" s="64">
        <f t="shared" si="28"/>
        <v>0</v>
      </c>
      <c r="AB37" s="64">
        <f t="shared" si="28"/>
        <v>0</v>
      </c>
      <c r="AC37" s="64">
        <f t="shared" si="28"/>
        <v>0</v>
      </c>
      <c r="AD37" s="64"/>
      <c r="AE37" s="64"/>
      <c r="AF37" s="64"/>
      <c r="AG37" s="64"/>
      <c r="AH37" s="64"/>
      <c r="AI37" s="64"/>
      <c r="AJ37" s="64"/>
      <c r="AK37" s="64"/>
      <c r="AL37" s="64"/>
      <c r="AM37" s="64"/>
    </row>
    <row r="38" spans="2:40" x14ac:dyDescent="0.2">
      <c r="B38" t="s">
        <v>8</v>
      </c>
      <c r="S38" s="64">
        <f>+S76/$I$14</f>
        <v>4748.3162319315616</v>
      </c>
      <c r="T38" s="64">
        <f t="shared" ref="T38:AC38" si="29">+IF(S130&gt;0,MIN(T76/$I$14,S130),0)</f>
        <v>4748.3162319315616</v>
      </c>
      <c r="U38" s="64">
        <f t="shared" si="29"/>
        <v>4748.3162319315616</v>
      </c>
      <c r="V38" s="64">
        <f t="shared" si="29"/>
        <v>4748.3162319315616</v>
      </c>
      <c r="W38" s="64">
        <f t="shared" si="29"/>
        <v>4748.3162319315616</v>
      </c>
      <c r="X38" s="64">
        <f t="shared" si="29"/>
        <v>4748.3162319315616</v>
      </c>
      <c r="Y38" s="64">
        <f t="shared" si="29"/>
        <v>4748.3162319315616</v>
      </c>
      <c r="Z38" s="64">
        <f t="shared" si="29"/>
        <v>4748.3162319315616</v>
      </c>
      <c r="AA38" s="64">
        <f t="shared" si="29"/>
        <v>0</v>
      </c>
      <c r="AB38" s="64">
        <f t="shared" si="29"/>
        <v>0</v>
      </c>
      <c r="AC38" s="64">
        <f t="shared" si="29"/>
        <v>0</v>
      </c>
      <c r="AD38" s="64"/>
      <c r="AE38" s="64"/>
      <c r="AF38" s="64"/>
      <c r="AG38" s="64"/>
      <c r="AH38" s="64"/>
      <c r="AI38" s="64"/>
      <c r="AJ38" s="64"/>
      <c r="AK38" s="64"/>
      <c r="AL38" s="64"/>
      <c r="AM38" s="64"/>
      <c r="AN38" s="64"/>
    </row>
    <row r="39" spans="2:40" x14ac:dyDescent="0.2">
      <c r="B39" t="s">
        <v>9</v>
      </c>
      <c r="S39" s="64"/>
      <c r="T39" s="64">
        <f>+T77/$I$14</f>
        <v>4689.2070582236711</v>
      </c>
      <c r="U39" s="64">
        <f t="shared" ref="U39:AC39" si="30">+IF(T131&gt;0,MIN(U77/$I$14,T131),0)</f>
        <v>4689.2070582236711</v>
      </c>
      <c r="V39" s="64">
        <f t="shared" si="30"/>
        <v>4689.2070582236711</v>
      </c>
      <c r="W39" s="64">
        <f t="shared" si="30"/>
        <v>4689.2070582236711</v>
      </c>
      <c r="X39" s="64">
        <f t="shared" si="30"/>
        <v>4689.2070582236711</v>
      </c>
      <c r="Y39" s="64">
        <f t="shared" si="30"/>
        <v>4689.2070582236711</v>
      </c>
      <c r="Z39" s="64">
        <f t="shared" si="30"/>
        <v>4689.2070582236711</v>
      </c>
      <c r="AA39" s="64">
        <f t="shared" si="30"/>
        <v>4689.2070582236702</v>
      </c>
      <c r="AB39" s="64">
        <f t="shared" si="30"/>
        <v>0</v>
      </c>
      <c r="AC39" s="64">
        <f t="shared" si="30"/>
        <v>0</v>
      </c>
      <c r="AD39" s="64"/>
      <c r="AE39" s="64"/>
      <c r="AF39" s="64"/>
      <c r="AG39" s="64"/>
      <c r="AH39" s="64"/>
      <c r="AI39" s="64"/>
      <c r="AJ39" s="64"/>
      <c r="AK39" s="64"/>
      <c r="AL39" s="64"/>
      <c r="AM39" s="64"/>
      <c r="AN39" s="64"/>
    </row>
    <row r="40" spans="2:40" x14ac:dyDescent="0.2">
      <c r="B40" t="s">
        <v>10</v>
      </c>
      <c r="S40" s="64"/>
      <c r="T40" s="64"/>
      <c r="U40" s="64">
        <f>+U78/$I$14</f>
        <v>5018.7347492429262</v>
      </c>
      <c r="V40" s="64">
        <f t="shared" ref="V40:AC40" si="31">+IF(U132&gt;0,MIN(V78/$I$14,U132),0)</f>
        <v>5018.7347492429262</v>
      </c>
      <c r="W40" s="64">
        <f t="shared" si="31"/>
        <v>5018.7347492429262</v>
      </c>
      <c r="X40" s="64">
        <f t="shared" si="31"/>
        <v>5018.7347492429262</v>
      </c>
      <c r="Y40" s="64">
        <f t="shared" si="31"/>
        <v>5018.7347492429262</v>
      </c>
      <c r="Z40" s="64">
        <f t="shared" si="31"/>
        <v>5018.7347492429262</v>
      </c>
      <c r="AA40" s="64">
        <f t="shared" si="31"/>
        <v>5018.7347492429262</v>
      </c>
      <c r="AB40" s="64">
        <f t="shared" si="31"/>
        <v>5018.7347492429253</v>
      </c>
      <c r="AC40" s="64">
        <f t="shared" si="31"/>
        <v>0</v>
      </c>
      <c r="AD40" s="64"/>
      <c r="AE40" s="64"/>
      <c r="AF40" s="64"/>
      <c r="AG40" s="64"/>
      <c r="AH40" s="64"/>
      <c r="AI40" s="64"/>
      <c r="AJ40" s="64"/>
      <c r="AK40" s="64"/>
      <c r="AL40" s="64"/>
      <c r="AM40" s="64"/>
      <c r="AN40" s="64"/>
    </row>
    <row r="41" spans="2:40" x14ac:dyDescent="0.2">
      <c r="B41" t="s">
        <v>11</v>
      </c>
      <c r="S41" s="64"/>
      <c r="T41" s="64"/>
      <c r="U41" s="64"/>
      <c r="V41" s="64">
        <f>+V79/$I$14</f>
        <v>5330.6639918183819</v>
      </c>
      <c r="W41" s="64">
        <f t="shared" ref="W41:AC41" si="32">+IF(V133&gt;0,MIN(W79/$I$14,V133),0)</f>
        <v>5330.6639918183819</v>
      </c>
      <c r="X41" s="64">
        <f t="shared" si="32"/>
        <v>5330.6639918183819</v>
      </c>
      <c r="Y41" s="64">
        <f t="shared" si="32"/>
        <v>5330.6639918183819</v>
      </c>
      <c r="Z41" s="64">
        <f t="shared" si="32"/>
        <v>5330.6639918183819</v>
      </c>
      <c r="AA41" s="64">
        <f t="shared" si="32"/>
        <v>5330.6639918183819</v>
      </c>
      <c r="AB41" s="64">
        <f t="shared" si="32"/>
        <v>5330.6639918183819</v>
      </c>
      <c r="AC41" s="64">
        <f t="shared" si="32"/>
        <v>5330.6639918183791</v>
      </c>
      <c r="AD41" s="64"/>
      <c r="AE41" s="64"/>
      <c r="AF41" s="64"/>
      <c r="AG41" s="64"/>
      <c r="AH41" s="64"/>
      <c r="AI41" s="64"/>
      <c r="AJ41" s="64"/>
      <c r="AK41" s="64"/>
      <c r="AL41" s="64"/>
      <c r="AM41" s="64"/>
      <c r="AN41" s="64"/>
    </row>
    <row r="42" spans="2:40" x14ac:dyDescent="0.2">
      <c r="B42" t="s">
        <v>12</v>
      </c>
      <c r="S42" s="64"/>
      <c r="T42" s="64"/>
      <c r="U42" s="64"/>
      <c r="V42" s="64"/>
      <c r="W42" s="64">
        <f>+W80/$I$14</f>
        <v>5889.9310572634977</v>
      </c>
      <c r="X42" s="64">
        <f t="shared" ref="X42:AC42" si="33">+IF(W134&gt;0,MIN(X80/$I$14,W134),0)</f>
        <v>5889.9310572634977</v>
      </c>
      <c r="Y42" s="64">
        <f t="shared" si="33"/>
        <v>5889.9310572634977</v>
      </c>
      <c r="Z42" s="64">
        <f t="shared" si="33"/>
        <v>5889.9310572634977</v>
      </c>
      <c r="AA42" s="64">
        <f t="shared" si="33"/>
        <v>5889.9310572634977</v>
      </c>
      <c r="AB42" s="64">
        <f t="shared" si="33"/>
        <v>5889.9310572634977</v>
      </c>
      <c r="AC42" s="64">
        <f t="shared" si="33"/>
        <v>5889.9310572634977</v>
      </c>
      <c r="AD42" s="64"/>
      <c r="AE42" s="64"/>
      <c r="AF42" s="64"/>
      <c r="AG42" s="64"/>
      <c r="AH42" s="64"/>
      <c r="AI42" s="64"/>
      <c r="AJ42" s="64"/>
      <c r="AK42" s="64"/>
      <c r="AL42" s="64"/>
      <c r="AM42" s="64"/>
      <c r="AN42" s="64"/>
    </row>
    <row r="43" spans="2:40" x14ac:dyDescent="0.2">
      <c r="B43" t="s">
        <v>13</v>
      </c>
      <c r="S43" s="64"/>
      <c r="T43" s="64"/>
      <c r="U43" s="64"/>
      <c r="V43" s="64"/>
      <c r="W43" s="64"/>
      <c r="X43" s="64">
        <f>+X81/$I$14</f>
        <v>6479.5813537283448</v>
      </c>
      <c r="Y43" s="64">
        <f>+IF(X135&gt;0,MIN(Y81/$I$14,X135),0)</f>
        <v>6479.5813537283448</v>
      </c>
      <c r="Z43" s="64">
        <f>+IF(Y135&gt;0,MIN(Z81/$I$14,Y135),0)</f>
        <v>6479.5813537283448</v>
      </c>
      <c r="AA43" s="64">
        <f>+IF(Z135&gt;0,MIN(AA81/$I$14,Z135),0)</f>
        <v>6479.5813537283448</v>
      </c>
      <c r="AB43" s="64">
        <f>+IF(AA135&gt;0,MIN(AB81/$I$14,AA135),0)</f>
        <v>6479.5813537283448</v>
      </c>
      <c r="AC43" s="64">
        <f>+IF(AB135&gt;0,MIN(AC81/$I$14,AB135),0)</f>
        <v>6479.5813537283448</v>
      </c>
      <c r="AD43" s="64"/>
      <c r="AE43" s="64"/>
      <c r="AF43" s="64"/>
      <c r="AG43" s="64"/>
      <c r="AH43" s="64"/>
      <c r="AI43" s="64"/>
      <c r="AJ43" s="64"/>
      <c r="AK43" s="64"/>
      <c r="AL43" s="64"/>
      <c r="AM43" s="64"/>
      <c r="AN43" s="64"/>
    </row>
    <row r="44" spans="2:40" x14ac:dyDescent="0.2">
      <c r="B44" t="s">
        <v>14</v>
      </c>
      <c r="S44" s="64"/>
      <c r="T44" s="64"/>
      <c r="U44" s="64"/>
      <c r="V44" s="64"/>
      <c r="W44" s="64"/>
      <c r="X44" s="64"/>
      <c r="Y44" s="64">
        <f>+Y82/$I$14</f>
        <v>7101.0283089156637</v>
      </c>
      <c r="Z44" s="64">
        <f>+IF(Y136&gt;0,MIN(Z82/$I$14,Y136),0)</f>
        <v>7101.0283089156637</v>
      </c>
      <c r="AA44" s="64">
        <f>+IF(Z136&gt;0,MIN(AA82/$I$14,Z136),0)</f>
        <v>7101.0283089156637</v>
      </c>
      <c r="AB44" s="64">
        <f>+IF(AA136&gt;0,MIN(AB82/$I$14,AA136),0)</f>
        <v>7101.0283089156637</v>
      </c>
      <c r="AC44" s="64">
        <f>+IF(AB136&gt;0,MIN(AC82/$I$14,AB136),0)</f>
        <v>7101.0283089156637</v>
      </c>
      <c r="AD44" s="64"/>
      <c r="AE44" s="64"/>
      <c r="AF44" s="64"/>
      <c r="AG44" s="64"/>
      <c r="AH44" s="64"/>
      <c r="AI44" s="64"/>
      <c r="AJ44" s="64"/>
      <c r="AK44" s="64"/>
      <c r="AL44" s="64"/>
      <c r="AM44" s="64"/>
      <c r="AN44" s="64"/>
    </row>
    <row r="45" spans="2:40" x14ac:dyDescent="0.2">
      <c r="B45" t="s">
        <v>15</v>
      </c>
      <c r="S45" s="64"/>
      <c r="T45" s="64"/>
      <c r="U45" s="64"/>
      <c r="V45" s="64"/>
      <c r="W45" s="64"/>
      <c r="X45" s="64"/>
      <c r="Y45" s="64"/>
      <c r="Z45" s="64">
        <f>+Z83/$I$14</f>
        <v>7755.8457615783145</v>
      </c>
      <c r="AA45" s="64">
        <f>+IF(Z137&gt;0,MIN(AA83/$I$14,Z137),0)</f>
        <v>7755.8457615783145</v>
      </c>
      <c r="AB45" s="64">
        <f>+IF(AA137&gt;0,MIN(AB83/$I$14,AA137),0)</f>
        <v>7755.8457615783145</v>
      </c>
      <c r="AC45" s="64">
        <f>+IF(AB137&gt;0,MIN(AC83/$I$14,AB137),0)</f>
        <v>7755.8457615783145</v>
      </c>
      <c r="AD45" s="64"/>
      <c r="AE45" s="64"/>
      <c r="AF45" s="64"/>
      <c r="AG45" s="64"/>
      <c r="AH45" s="64"/>
      <c r="AI45" s="64"/>
      <c r="AJ45" s="64"/>
      <c r="AK45" s="64"/>
      <c r="AL45" s="64"/>
      <c r="AM45" s="64"/>
      <c r="AN45" s="64"/>
    </row>
    <row r="46" spans="2:40" x14ac:dyDescent="0.2">
      <c r="B46" t="s">
        <v>325</v>
      </c>
      <c r="S46" s="64"/>
      <c r="T46" s="64"/>
      <c r="U46" s="64"/>
      <c r="V46" s="64"/>
      <c r="W46" s="64"/>
      <c r="X46" s="64"/>
      <c r="Y46" s="64"/>
      <c r="Z46" s="64"/>
      <c r="AA46" s="64">
        <f>+AA84/$I$14</f>
        <v>8445.767511223281</v>
      </c>
      <c r="AB46" s="64">
        <f>+IF(AA138&gt;0,MIN(AB84/$I$14,AA138),0)</f>
        <v>8445.767511223281</v>
      </c>
      <c r="AC46" s="64">
        <f>+IF(AB138&gt;0,MIN(AC84/$I$14,AB138),0)</f>
        <v>8445.767511223281</v>
      </c>
      <c r="AD46" s="64"/>
      <c r="AE46" s="64"/>
      <c r="AF46" s="64"/>
      <c r="AG46" s="64"/>
      <c r="AH46" s="64"/>
      <c r="AI46" s="64"/>
      <c r="AJ46" s="64"/>
      <c r="AK46" s="64"/>
      <c r="AL46" s="64"/>
      <c r="AM46" s="64"/>
      <c r="AN46" s="64"/>
    </row>
    <row r="47" spans="2:40" x14ac:dyDescent="0.2">
      <c r="B47" t="s">
        <v>346</v>
      </c>
      <c r="S47" s="64"/>
      <c r="T47" s="64"/>
      <c r="U47" s="64"/>
      <c r="V47" s="64"/>
      <c r="W47" s="64"/>
      <c r="X47" s="64"/>
      <c r="Y47" s="64"/>
      <c r="Z47" s="64"/>
      <c r="AA47" s="64"/>
      <c r="AB47" s="64">
        <f>+AB85/$I$14</f>
        <v>9172.6880772277455</v>
      </c>
      <c r="AC47" s="64">
        <f>+AC85/$I$14</f>
        <v>9172.6880772277455</v>
      </c>
      <c r="AD47" s="64"/>
      <c r="AE47" s="64"/>
      <c r="AF47" s="64"/>
      <c r="AG47" s="64"/>
      <c r="AH47" s="64"/>
      <c r="AI47" s="64"/>
      <c r="AJ47" s="64"/>
      <c r="AK47" s="64"/>
      <c r="AL47" s="64"/>
      <c r="AM47" s="64"/>
      <c r="AN47" s="64"/>
    </row>
    <row r="48" spans="2:40" x14ac:dyDescent="0.2">
      <c r="B48" t="s">
        <v>426</v>
      </c>
      <c r="S48" s="64"/>
      <c r="T48" s="64"/>
      <c r="U48" s="64"/>
      <c r="V48" s="64"/>
      <c r="W48" s="64"/>
      <c r="X48" s="64"/>
      <c r="Y48" s="64"/>
      <c r="Z48" s="64"/>
      <c r="AA48" s="64"/>
      <c r="AB48" s="64"/>
      <c r="AC48" s="64">
        <f>+AC86/$I$14</f>
        <v>9938.6645917663009</v>
      </c>
      <c r="AD48" s="64"/>
      <c r="AE48" s="64"/>
      <c r="AF48" s="64"/>
      <c r="AG48" s="64"/>
      <c r="AH48" s="64"/>
      <c r="AI48" s="64"/>
      <c r="AJ48" s="64"/>
      <c r="AK48" s="64"/>
      <c r="AL48" s="64"/>
      <c r="AM48" s="64"/>
      <c r="AN48" s="64"/>
    </row>
    <row r="49" spans="2:40" s="44" customFormat="1" x14ac:dyDescent="0.2">
      <c r="B49" s="110" t="s">
        <v>381</v>
      </c>
      <c r="D49" s="111"/>
      <c r="E49" s="111">
        <f>+SUM(E24:E47)</f>
        <v>162</v>
      </c>
      <c r="F49" s="111">
        <f>+SUM(F24:F47)</f>
        <v>367.16666666666663</v>
      </c>
      <c r="G49" s="111">
        <f>+SUM(G24:G48)</f>
        <v>523.16666666666663</v>
      </c>
      <c r="H49" s="111">
        <f t="shared" ref="H49:AC49" si="34">+SUM(H24:H48)</f>
        <v>736.66666666666663</v>
      </c>
      <c r="I49" s="111">
        <f t="shared" si="34"/>
        <v>1095.1666666666665</v>
      </c>
      <c r="J49" s="111">
        <f t="shared" si="34"/>
        <v>1547.8333333333333</v>
      </c>
      <c r="K49" s="111">
        <f t="shared" si="34"/>
        <v>2291.1666666666665</v>
      </c>
      <c r="L49" s="111">
        <f t="shared" si="34"/>
        <v>3586</v>
      </c>
      <c r="M49" s="111">
        <f t="shared" si="34"/>
        <v>5353.666666666667</v>
      </c>
      <c r="N49" s="111">
        <f t="shared" si="34"/>
        <v>7452.8333333333339</v>
      </c>
      <c r="O49" s="111">
        <f t="shared" si="34"/>
        <v>8000.7142857142862</v>
      </c>
      <c r="P49" s="111">
        <f t="shared" si="34"/>
        <v>9335.0666666666657</v>
      </c>
      <c r="Q49" s="111">
        <f t="shared" si="34"/>
        <v>11573.775</v>
      </c>
      <c r="R49" s="111">
        <f t="shared" si="34"/>
        <v>15299.789803690475</v>
      </c>
      <c r="S49" s="111">
        <f t="shared" si="34"/>
        <v>19158.820321336323</v>
      </c>
      <c r="T49" s="111">
        <f t="shared" si="34"/>
        <v>22583.903570036186</v>
      </c>
      <c r="U49" s="111">
        <f t="shared" si="34"/>
        <v>26482.426414517206</v>
      </c>
      <c r="V49" s="111">
        <f t="shared" si="34"/>
        <v>30668.202311097491</v>
      </c>
      <c r="W49" s="111">
        <f t="shared" si="34"/>
        <v>35094.907177884801</v>
      </c>
      <c r="X49" s="111">
        <f t="shared" si="34"/>
        <v>39679.938531613145</v>
      </c>
      <c r="Y49" s="111">
        <f t="shared" si="34"/>
        <v>43529.591840528803</v>
      </c>
      <c r="Z49" s="111">
        <f t="shared" si="34"/>
        <v>47013.308512702359</v>
      </c>
      <c r="AA49" s="111">
        <f t="shared" si="34"/>
        <v>50710.759791994082</v>
      </c>
      <c r="AB49" s="111">
        <f t="shared" si="34"/>
        <v>55194.240810998155</v>
      </c>
      <c r="AC49" s="111">
        <f t="shared" si="34"/>
        <v>60114.17065352152</v>
      </c>
      <c r="AD49" s="111"/>
      <c r="AE49" s="111"/>
      <c r="AF49" s="111"/>
      <c r="AG49" s="111"/>
      <c r="AH49" s="111"/>
      <c r="AI49" s="111"/>
      <c r="AJ49" s="111"/>
      <c r="AK49" s="111"/>
      <c r="AL49" s="111"/>
      <c r="AM49" s="111"/>
      <c r="AN49" s="111"/>
    </row>
    <row r="50" spans="2:40" s="44" customFormat="1" x14ac:dyDescent="0.2">
      <c r="B50" s="110"/>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row>
    <row r="51" spans="2:40" s="44" customFormat="1" x14ac:dyDescent="0.2">
      <c r="B51" s="62" t="s">
        <v>19</v>
      </c>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row>
    <row r="52" spans="2:40" s="44" customFormat="1" x14ac:dyDescent="0.2">
      <c r="B52" s="60" t="s">
        <v>382</v>
      </c>
      <c r="D52" s="95"/>
      <c r="E52" s="95">
        <f t="shared" ref="E52:Q52" si="35">+E165</f>
        <v>323</v>
      </c>
      <c r="F52" s="95">
        <f t="shared" si="35"/>
        <v>649</v>
      </c>
      <c r="G52" s="95">
        <f t="shared" si="35"/>
        <v>866</v>
      </c>
      <c r="H52" s="95">
        <f t="shared" si="35"/>
        <v>924</v>
      </c>
      <c r="I52" s="95">
        <f t="shared" si="35"/>
        <v>1215</v>
      </c>
      <c r="J52" s="95">
        <f t="shared" si="35"/>
        <v>1591</v>
      </c>
      <c r="K52" s="95">
        <f t="shared" si="35"/>
        <v>2333</v>
      </c>
      <c r="L52" s="95">
        <f t="shared" si="35"/>
        <v>3675</v>
      </c>
      <c r="M52" s="95">
        <f t="shared" si="35"/>
        <v>5179</v>
      </c>
      <c r="N52" s="95">
        <f t="shared" si="35"/>
        <v>6389</v>
      </c>
      <c r="O52" s="95">
        <f t="shared" si="35"/>
        <v>7560</v>
      </c>
      <c r="P52" s="95">
        <f t="shared" si="35"/>
        <v>8501</v>
      </c>
      <c r="Q52" s="95">
        <f t="shared" si="35"/>
        <v>11017</v>
      </c>
      <c r="R52" s="95"/>
      <c r="S52" s="95"/>
      <c r="T52" s="111"/>
      <c r="U52" s="111"/>
      <c r="V52" s="111"/>
      <c r="W52" s="111"/>
      <c r="X52" s="111"/>
      <c r="Y52" s="111"/>
      <c r="Z52" s="111"/>
      <c r="AA52" s="111"/>
      <c r="AB52" s="111"/>
      <c r="AC52" s="111"/>
      <c r="AD52" s="111"/>
      <c r="AE52" s="111"/>
      <c r="AF52" s="111"/>
      <c r="AG52" s="111"/>
      <c r="AH52" s="111"/>
      <c r="AI52" s="111"/>
      <c r="AJ52" s="111"/>
      <c r="AK52" s="111"/>
      <c r="AL52" s="111"/>
      <c r="AM52" s="111"/>
      <c r="AN52" s="111"/>
    </row>
    <row r="53" spans="2:40" s="44" customFormat="1" x14ac:dyDescent="0.2">
      <c r="B53" s="101" t="s">
        <v>383</v>
      </c>
      <c r="D53" s="106"/>
      <c r="E53" s="106">
        <f t="shared" ref="E53:Q53" si="36">+E52/E49-1</f>
        <v>0.99382716049382713</v>
      </c>
      <c r="F53" s="106">
        <f t="shared" si="36"/>
        <v>0.76758965047662286</v>
      </c>
      <c r="G53" s="106">
        <f t="shared" si="36"/>
        <v>0.65530423701815876</v>
      </c>
      <c r="H53" s="106">
        <f t="shared" si="36"/>
        <v>0.25429864253393664</v>
      </c>
      <c r="I53" s="106">
        <f t="shared" si="36"/>
        <v>0.10942017957692918</v>
      </c>
      <c r="J53" s="106">
        <f t="shared" si="36"/>
        <v>2.7888446215139417E-2</v>
      </c>
      <c r="K53" s="106">
        <f t="shared" si="36"/>
        <v>1.8258529133629242E-2</v>
      </c>
      <c r="L53" s="106">
        <f t="shared" si="36"/>
        <v>2.4818739542666002E-2</v>
      </c>
      <c r="M53" s="106">
        <f t="shared" si="36"/>
        <v>-3.2625614843409534E-2</v>
      </c>
      <c r="N53" s="106">
        <f t="shared" si="36"/>
        <v>-0.14274213386407864</v>
      </c>
      <c r="O53" s="106">
        <f t="shared" si="36"/>
        <v>-5.5084367467190476E-2</v>
      </c>
      <c r="P53" s="106">
        <f t="shared" si="36"/>
        <v>-8.9347692571379533E-2</v>
      </c>
      <c r="Q53" s="106">
        <f t="shared" si="36"/>
        <v>-4.8106603074623444E-2</v>
      </c>
      <c r="R53" s="106"/>
      <c r="S53" s="106"/>
      <c r="T53" s="111"/>
      <c r="U53" s="111"/>
      <c r="V53" s="111"/>
      <c r="W53" s="111"/>
      <c r="X53" s="111"/>
      <c r="Y53" s="111"/>
      <c r="Z53" s="111"/>
      <c r="AA53" s="111"/>
      <c r="AB53" s="111"/>
      <c r="AC53" s="111"/>
      <c r="AD53" s="111"/>
      <c r="AE53" s="111"/>
      <c r="AF53" s="111"/>
      <c r="AG53" s="111"/>
      <c r="AH53" s="111"/>
      <c r="AI53" s="111"/>
      <c r="AJ53" s="111"/>
      <c r="AK53" s="111"/>
      <c r="AL53" s="111"/>
      <c r="AM53" s="111"/>
      <c r="AN53" s="111"/>
    </row>
    <row r="54" spans="2:40" x14ac:dyDescent="0.2">
      <c r="B54" s="101" t="s">
        <v>384</v>
      </c>
      <c r="D54" s="95"/>
      <c r="E54" s="95">
        <f t="shared" ref="E54:Q54" si="37">+E52-E49</f>
        <v>161</v>
      </c>
      <c r="F54" s="95">
        <f t="shared" si="37"/>
        <v>281.83333333333337</v>
      </c>
      <c r="G54" s="95">
        <f t="shared" si="37"/>
        <v>342.83333333333337</v>
      </c>
      <c r="H54" s="95">
        <f t="shared" si="37"/>
        <v>187.33333333333337</v>
      </c>
      <c r="I54" s="95">
        <f t="shared" si="37"/>
        <v>119.83333333333348</v>
      </c>
      <c r="J54" s="95">
        <f t="shared" si="37"/>
        <v>43.166666666666742</v>
      </c>
      <c r="K54" s="95">
        <f t="shared" si="37"/>
        <v>41.833333333333485</v>
      </c>
      <c r="L54" s="95">
        <f t="shared" si="37"/>
        <v>89</v>
      </c>
      <c r="M54" s="95">
        <f t="shared" si="37"/>
        <v>-174.66666666666697</v>
      </c>
      <c r="N54" s="95">
        <f t="shared" si="37"/>
        <v>-1063.8333333333339</v>
      </c>
      <c r="O54" s="95">
        <f t="shared" si="37"/>
        <v>-440.71428571428623</v>
      </c>
      <c r="P54" s="95">
        <f t="shared" si="37"/>
        <v>-834.0666666666657</v>
      </c>
      <c r="Q54" s="95">
        <f t="shared" si="37"/>
        <v>-556.77499999999964</v>
      </c>
      <c r="R54" s="95"/>
      <c r="S54" s="95"/>
    </row>
    <row r="55" spans="2:40" x14ac:dyDescent="0.2">
      <c r="D55" s="95"/>
      <c r="E55" s="95"/>
      <c r="F55" s="95"/>
      <c r="G55" s="95"/>
      <c r="H55" s="95"/>
      <c r="I55" s="95"/>
      <c r="J55" s="95"/>
      <c r="K55" s="95"/>
      <c r="L55" s="95"/>
      <c r="M55" s="95"/>
      <c r="N55" s="95"/>
      <c r="O55" s="95"/>
      <c r="P55" s="95"/>
      <c r="Q55" s="95"/>
      <c r="R55" s="95"/>
      <c r="S55" s="95"/>
    </row>
    <row r="56" spans="2:40" x14ac:dyDescent="0.2">
      <c r="B56" s="54" t="s">
        <v>23</v>
      </c>
      <c r="D56" s="95"/>
      <c r="E56" s="95"/>
      <c r="F56" s="95"/>
      <c r="G56" s="95"/>
      <c r="H56" s="95"/>
      <c r="I56" s="95"/>
      <c r="J56" s="95"/>
      <c r="K56" s="95"/>
      <c r="L56" s="95"/>
      <c r="M56" s="95"/>
      <c r="N56" s="95"/>
      <c r="O56" s="95"/>
      <c r="P56" s="95"/>
      <c r="Q56" s="95"/>
      <c r="R56" s="95"/>
      <c r="S56" s="95"/>
    </row>
    <row r="57" spans="2:40" x14ac:dyDescent="0.2">
      <c r="B57" t="s">
        <v>381</v>
      </c>
      <c r="D57" s="64"/>
      <c r="E57" s="64">
        <f t="shared" ref="E57:AB57" si="38">+E49</f>
        <v>162</v>
      </c>
      <c r="F57" s="64">
        <f t="shared" si="38"/>
        <v>367.16666666666663</v>
      </c>
      <c r="G57" s="64">
        <f t="shared" si="38"/>
        <v>523.16666666666663</v>
      </c>
      <c r="H57" s="64">
        <f t="shared" si="38"/>
        <v>736.66666666666663</v>
      </c>
      <c r="I57" s="64">
        <f t="shared" si="38"/>
        <v>1095.1666666666665</v>
      </c>
      <c r="J57" s="64">
        <f t="shared" si="38"/>
        <v>1547.8333333333333</v>
      </c>
      <c r="K57" s="64">
        <f t="shared" si="38"/>
        <v>2291.1666666666665</v>
      </c>
      <c r="L57" s="64">
        <f t="shared" si="38"/>
        <v>3586</v>
      </c>
      <c r="M57" s="64">
        <f t="shared" si="38"/>
        <v>5353.666666666667</v>
      </c>
      <c r="N57" s="64">
        <f t="shared" si="38"/>
        <v>7452.8333333333339</v>
      </c>
      <c r="O57" s="64">
        <f t="shared" si="38"/>
        <v>8000.7142857142862</v>
      </c>
      <c r="P57" s="64">
        <f t="shared" si="38"/>
        <v>9335.0666666666657</v>
      </c>
      <c r="Q57" s="64">
        <f t="shared" si="38"/>
        <v>11573.775</v>
      </c>
      <c r="R57" s="64">
        <f t="shared" si="38"/>
        <v>15299.789803690475</v>
      </c>
      <c r="S57" s="64">
        <f t="shared" si="38"/>
        <v>19158.820321336323</v>
      </c>
      <c r="T57" s="64">
        <f t="shared" si="38"/>
        <v>22583.903570036186</v>
      </c>
      <c r="U57" s="64">
        <f t="shared" si="38"/>
        <v>26482.426414517206</v>
      </c>
      <c r="V57" s="64">
        <f t="shared" si="38"/>
        <v>30668.202311097491</v>
      </c>
      <c r="W57" s="64">
        <f t="shared" si="38"/>
        <v>35094.907177884801</v>
      </c>
      <c r="X57" s="64">
        <f t="shared" si="38"/>
        <v>39679.938531613145</v>
      </c>
      <c r="Y57" s="64">
        <f t="shared" si="38"/>
        <v>43529.591840528803</v>
      </c>
      <c r="Z57" s="64">
        <f t="shared" si="38"/>
        <v>47013.308512702359</v>
      </c>
      <c r="AA57" s="64">
        <f t="shared" si="38"/>
        <v>50710.759791994082</v>
      </c>
      <c r="AB57" s="64">
        <f t="shared" si="38"/>
        <v>55194.240810998155</v>
      </c>
      <c r="AC57" s="64">
        <f>+AC49</f>
        <v>60114.17065352152</v>
      </c>
    </row>
    <row r="58" spans="2:40" ht="13.5" x14ac:dyDescent="0.35">
      <c r="B58" t="s">
        <v>385</v>
      </c>
      <c r="D58" s="82"/>
      <c r="E58" s="82">
        <v>0</v>
      </c>
      <c r="F58" s="82">
        <v>0</v>
      </c>
      <c r="G58" s="82">
        <v>145</v>
      </c>
      <c r="H58" s="82">
        <v>319</v>
      </c>
      <c r="I58" s="82">
        <v>730</v>
      </c>
      <c r="J58" s="82">
        <v>751</v>
      </c>
      <c r="K58" s="82">
        <v>692</v>
      </c>
      <c r="L58" s="82">
        <v>640</v>
      </c>
      <c r="M58" s="82">
        <v>562</v>
      </c>
      <c r="N58" s="82">
        <v>473</v>
      </c>
      <c r="O58" s="82">
        <v>407</v>
      </c>
      <c r="P58" s="82">
        <v>185</v>
      </c>
      <c r="Q58" s="82">
        <v>161</v>
      </c>
      <c r="R58" s="71">
        <v>136</v>
      </c>
      <c r="S58" s="71">
        <v>97</v>
      </c>
      <c r="T58" s="71">
        <v>46</v>
      </c>
      <c r="U58" s="71">
        <v>24</v>
      </c>
      <c r="V58" s="71">
        <v>15</v>
      </c>
      <c r="W58" s="71">
        <v>10</v>
      </c>
      <c r="X58" s="71">
        <v>10</v>
      </c>
      <c r="Y58" s="71">
        <v>10</v>
      </c>
      <c r="Z58" s="71">
        <v>10</v>
      </c>
      <c r="AA58" s="71">
        <v>10</v>
      </c>
      <c r="AB58" s="71">
        <v>10</v>
      </c>
      <c r="AC58" s="71">
        <v>10</v>
      </c>
    </row>
    <row r="59" spans="2:40" s="44" customFormat="1" x14ac:dyDescent="0.2">
      <c r="B59" s="110" t="s">
        <v>386</v>
      </c>
      <c r="D59" s="111"/>
      <c r="E59" s="111">
        <f t="shared" ref="E59:AB59" si="39">SUM(E57:E58)</f>
        <v>162</v>
      </c>
      <c r="F59" s="111">
        <f t="shared" si="39"/>
        <v>367.16666666666663</v>
      </c>
      <c r="G59" s="111">
        <f t="shared" si="39"/>
        <v>668.16666666666663</v>
      </c>
      <c r="H59" s="111">
        <f t="shared" si="39"/>
        <v>1055.6666666666665</v>
      </c>
      <c r="I59" s="111">
        <f t="shared" si="39"/>
        <v>1825.1666666666665</v>
      </c>
      <c r="J59" s="111">
        <f t="shared" si="39"/>
        <v>2298.833333333333</v>
      </c>
      <c r="K59" s="111">
        <f t="shared" si="39"/>
        <v>2983.1666666666665</v>
      </c>
      <c r="L59" s="111">
        <f t="shared" si="39"/>
        <v>4226</v>
      </c>
      <c r="M59" s="111">
        <f t="shared" si="39"/>
        <v>5915.666666666667</v>
      </c>
      <c r="N59" s="111">
        <f t="shared" si="39"/>
        <v>7925.8333333333339</v>
      </c>
      <c r="O59" s="111">
        <f t="shared" si="39"/>
        <v>8407.7142857142862</v>
      </c>
      <c r="P59" s="111">
        <f t="shared" si="39"/>
        <v>9520.0666666666657</v>
      </c>
      <c r="Q59" s="111">
        <f t="shared" si="39"/>
        <v>11734.775</v>
      </c>
      <c r="R59" s="111">
        <f t="shared" si="39"/>
        <v>15435.789803690475</v>
      </c>
      <c r="S59" s="111">
        <f t="shared" si="39"/>
        <v>19255.820321336323</v>
      </c>
      <c r="T59" s="111">
        <f t="shared" si="39"/>
        <v>22629.903570036186</v>
      </c>
      <c r="U59" s="111">
        <f t="shared" si="39"/>
        <v>26506.426414517206</v>
      </c>
      <c r="V59" s="111">
        <f t="shared" si="39"/>
        <v>30683.202311097491</v>
      </c>
      <c r="W59" s="111">
        <f t="shared" si="39"/>
        <v>35104.907177884801</v>
      </c>
      <c r="X59" s="111">
        <f t="shared" si="39"/>
        <v>39689.938531613145</v>
      </c>
      <c r="Y59" s="111">
        <f t="shared" si="39"/>
        <v>43539.591840528803</v>
      </c>
      <c r="Z59" s="111">
        <f t="shared" si="39"/>
        <v>47023.308512702359</v>
      </c>
      <c r="AA59" s="111">
        <f t="shared" si="39"/>
        <v>50720.759791994082</v>
      </c>
      <c r="AB59" s="111">
        <f t="shared" si="39"/>
        <v>55204.240810998155</v>
      </c>
      <c r="AC59" s="111">
        <f>SUM(AC57:AC58)</f>
        <v>60124.17065352152</v>
      </c>
    </row>
    <row r="60" spans="2:40" hidden="1" outlineLevel="1" x14ac:dyDescent="0.2">
      <c r="B60" s="101"/>
      <c r="P60" s="64"/>
      <c r="Q60" s="64"/>
      <c r="R60" s="64"/>
    </row>
    <row r="61" spans="2:40" hidden="1" outlineLevel="1" x14ac:dyDescent="0.2">
      <c r="B61" s="54" t="s">
        <v>387</v>
      </c>
    </row>
    <row r="62" spans="2:40" hidden="1" outlineLevel="1" x14ac:dyDescent="0.2">
      <c r="B62" t="s">
        <v>371</v>
      </c>
      <c r="E62" s="64">
        <f>+E$21</f>
        <v>972</v>
      </c>
      <c r="F62" s="64">
        <f t="shared" ref="F62:V62" si="40">+E62</f>
        <v>972</v>
      </c>
      <c r="G62" s="64">
        <f t="shared" si="40"/>
        <v>972</v>
      </c>
      <c r="H62" s="64">
        <f t="shared" si="40"/>
        <v>972</v>
      </c>
      <c r="I62" s="64">
        <f t="shared" si="40"/>
        <v>972</v>
      </c>
      <c r="J62" s="64">
        <f t="shared" si="40"/>
        <v>972</v>
      </c>
      <c r="K62" s="64">
        <f t="shared" si="40"/>
        <v>972</v>
      </c>
      <c r="L62" s="64">
        <f t="shared" si="40"/>
        <v>972</v>
      </c>
      <c r="M62" s="64">
        <f t="shared" si="40"/>
        <v>972</v>
      </c>
      <c r="N62" s="64">
        <f t="shared" si="40"/>
        <v>972</v>
      </c>
      <c r="O62" s="64">
        <f t="shared" si="40"/>
        <v>972</v>
      </c>
      <c r="P62" s="64">
        <f t="shared" si="40"/>
        <v>972</v>
      </c>
      <c r="Q62" s="64">
        <f t="shared" si="40"/>
        <v>972</v>
      </c>
      <c r="R62" s="64">
        <f t="shared" si="40"/>
        <v>972</v>
      </c>
      <c r="S62" s="64">
        <f t="shared" si="40"/>
        <v>972</v>
      </c>
      <c r="T62" s="64">
        <f t="shared" si="40"/>
        <v>972</v>
      </c>
      <c r="U62" s="64">
        <f t="shared" si="40"/>
        <v>972</v>
      </c>
      <c r="V62" s="64">
        <f t="shared" si="40"/>
        <v>972</v>
      </c>
      <c r="W62" s="64">
        <f t="shared" ref="M62:AC77" si="41">+V62</f>
        <v>972</v>
      </c>
      <c r="X62" s="64">
        <f t="shared" si="41"/>
        <v>972</v>
      </c>
      <c r="Y62" s="64">
        <f t="shared" si="41"/>
        <v>972</v>
      </c>
      <c r="Z62" s="64">
        <f t="shared" si="41"/>
        <v>972</v>
      </c>
      <c r="AA62" s="64">
        <f t="shared" si="41"/>
        <v>972</v>
      </c>
      <c r="AB62" s="64">
        <f t="shared" si="41"/>
        <v>972</v>
      </c>
      <c r="AC62" s="64">
        <f t="shared" si="41"/>
        <v>972</v>
      </c>
    </row>
    <row r="63" spans="2:40" hidden="1" outlineLevel="1" x14ac:dyDescent="0.2">
      <c r="B63" t="s">
        <v>106</v>
      </c>
      <c r="F63" s="64">
        <f>+F$21</f>
        <v>1231</v>
      </c>
      <c r="G63" s="64">
        <f t="shared" ref="G63:O63" si="42">+F63</f>
        <v>1231</v>
      </c>
      <c r="H63" s="64">
        <f t="shared" si="42"/>
        <v>1231</v>
      </c>
      <c r="I63" s="64">
        <f t="shared" si="42"/>
        <v>1231</v>
      </c>
      <c r="J63" s="64">
        <f t="shared" si="42"/>
        <v>1231</v>
      </c>
      <c r="K63" s="64">
        <f t="shared" si="42"/>
        <v>1231</v>
      </c>
      <c r="L63" s="64">
        <f t="shared" si="42"/>
        <v>1231</v>
      </c>
      <c r="M63" s="64">
        <f t="shared" si="42"/>
        <v>1231</v>
      </c>
      <c r="N63" s="64">
        <f t="shared" si="42"/>
        <v>1231</v>
      </c>
      <c r="O63" s="64">
        <f t="shared" si="42"/>
        <v>1231</v>
      </c>
      <c r="P63" s="64">
        <f t="shared" si="41"/>
        <v>1231</v>
      </c>
      <c r="Q63" s="64">
        <f t="shared" si="41"/>
        <v>1231</v>
      </c>
      <c r="R63" s="64">
        <f t="shared" si="41"/>
        <v>1231</v>
      </c>
      <c r="S63" s="64">
        <f t="shared" si="41"/>
        <v>1231</v>
      </c>
      <c r="T63" s="64">
        <f t="shared" si="41"/>
        <v>1231</v>
      </c>
      <c r="U63" s="64">
        <f t="shared" si="41"/>
        <v>1231</v>
      </c>
      <c r="V63" s="64">
        <f t="shared" si="41"/>
        <v>1231</v>
      </c>
      <c r="W63" s="64">
        <f t="shared" si="41"/>
        <v>1231</v>
      </c>
      <c r="X63" s="64">
        <f t="shared" si="41"/>
        <v>1231</v>
      </c>
      <c r="Y63" s="64">
        <f t="shared" si="41"/>
        <v>1231</v>
      </c>
      <c r="Z63" s="64">
        <f t="shared" si="41"/>
        <v>1231</v>
      </c>
      <c r="AA63" s="64">
        <f t="shared" si="41"/>
        <v>1231</v>
      </c>
      <c r="AB63" s="64">
        <f t="shared" si="41"/>
        <v>1231</v>
      </c>
      <c r="AC63" s="64">
        <f t="shared" si="41"/>
        <v>1231</v>
      </c>
    </row>
    <row r="64" spans="2:40" hidden="1" outlineLevel="1" x14ac:dyDescent="0.2">
      <c r="B64" t="s">
        <v>107</v>
      </c>
      <c r="G64" s="64">
        <f>+G$21</f>
        <v>936</v>
      </c>
      <c r="H64" s="64">
        <f t="shared" ref="H64:O64" si="43">+G64</f>
        <v>936</v>
      </c>
      <c r="I64" s="64">
        <f t="shared" si="43"/>
        <v>936</v>
      </c>
      <c r="J64" s="64">
        <f t="shared" si="43"/>
        <v>936</v>
      </c>
      <c r="K64" s="64">
        <f t="shared" si="43"/>
        <v>936</v>
      </c>
      <c r="L64" s="64">
        <f t="shared" si="43"/>
        <v>936</v>
      </c>
      <c r="M64" s="64">
        <f t="shared" si="43"/>
        <v>936</v>
      </c>
      <c r="N64" s="64">
        <f t="shared" si="43"/>
        <v>936</v>
      </c>
      <c r="O64" s="64">
        <f t="shared" si="43"/>
        <v>936</v>
      </c>
      <c r="P64" s="64">
        <f t="shared" si="41"/>
        <v>936</v>
      </c>
      <c r="Q64" s="64">
        <f t="shared" si="41"/>
        <v>936</v>
      </c>
      <c r="R64" s="64">
        <f t="shared" si="41"/>
        <v>936</v>
      </c>
      <c r="S64" s="64">
        <f t="shared" si="41"/>
        <v>936</v>
      </c>
      <c r="T64" s="64">
        <f t="shared" si="41"/>
        <v>936</v>
      </c>
      <c r="U64" s="64">
        <f t="shared" si="41"/>
        <v>936</v>
      </c>
      <c r="V64" s="64">
        <f t="shared" si="41"/>
        <v>936</v>
      </c>
      <c r="W64" s="64">
        <f t="shared" si="41"/>
        <v>936</v>
      </c>
      <c r="X64" s="64">
        <f t="shared" si="41"/>
        <v>936</v>
      </c>
      <c r="Y64" s="64">
        <f t="shared" si="41"/>
        <v>936</v>
      </c>
      <c r="Z64" s="64">
        <f t="shared" si="41"/>
        <v>936</v>
      </c>
      <c r="AA64" s="64">
        <f t="shared" si="41"/>
        <v>936</v>
      </c>
      <c r="AB64" s="64">
        <f t="shared" si="41"/>
        <v>936</v>
      </c>
      <c r="AC64" s="64">
        <f t="shared" si="41"/>
        <v>936</v>
      </c>
    </row>
    <row r="65" spans="2:40" hidden="1" outlineLevel="1" x14ac:dyDescent="0.2">
      <c r="B65" t="s">
        <v>0</v>
      </c>
      <c r="H65" s="64">
        <f>+H$21</f>
        <v>1281</v>
      </c>
      <c r="I65" s="64">
        <f t="shared" ref="I65:O65" si="44">+H65</f>
        <v>1281</v>
      </c>
      <c r="J65" s="64">
        <f t="shared" si="44"/>
        <v>1281</v>
      </c>
      <c r="K65" s="64">
        <f t="shared" si="44"/>
        <v>1281</v>
      </c>
      <c r="L65" s="64">
        <f t="shared" si="44"/>
        <v>1281</v>
      </c>
      <c r="M65" s="64">
        <f t="shared" si="44"/>
        <v>1281</v>
      </c>
      <c r="N65" s="64">
        <f t="shared" si="44"/>
        <v>1281</v>
      </c>
      <c r="O65" s="64">
        <f t="shared" si="44"/>
        <v>1281</v>
      </c>
      <c r="P65" s="64">
        <f t="shared" si="41"/>
        <v>1281</v>
      </c>
      <c r="Q65" s="64">
        <f t="shared" si="41"/>
        <v>1281</v>
      </c>
      <c r="R65" s="64">
        <f t="shared" si="41"/>
        <v>1281</v>
      </c>
      <c r="S65" s="64">
        <f t="shared" si="41"/>
        <v>1281</v>
      </c>
      <c r="T65" s="64">
        <f t="shared" si="41"/>
        <v>1281</v>
      </c>
      <c r="U65" s="64">
        <f t="shared" si="41"/>
        <v>1281</v>
      </c>
      <c r="V65" s="64">
        <f t="shared" si="41"/>
        <v>1281</v>
      </c>
      <c r="W65" s="64">
        <f t="shared" si="41"/>
        <v>1281</v>
      </c>
      <c r="X65" s="64">
        <f t="shared" si="41"/>
        <v>1281</v>
      </c>
      <c r="Y65" s="64">
        <f t="shared" si="41"/>
        <v>1281</v>
      </c>
      <c r="Z65" s="64">
        <f t="shared" si="41"/>
        <v>1281</v>
      </c>
      <c r="AA65" s="64">
        <f t="shared" si="41"/>
        <v>1281</v>
      </c>
      <c r="AB65" s="64">
        <f t="shared" si="41"/>
        <v>1281</v>
      </c>
      <c r="AC65" s="64">
        <f t="shared" si="41"/>
        <v>1281</v>
      </c>
    </row>
    <row r="66" spans="2:40" hidden="1" outlineLevel="1" x14ac:dyDescent="0.2">
      <c r="B66" t="s">
        <v>1</v>
      </c>
      <c r="I66" s="64">
        <f>+I$21</f>
        <v>2151</v>
      </c>
      <c r="J66" s="64">
        <f t="shared" ref="J66:O66" si="45">+I66</f>
        <v>2151</v>
      </c>
      <c r="K66" s="64">
        <f t="shared" si="45"/>
        <v>2151</v>
      </c>
      <c r="L66" s="64">
        <f t="shared" si="45"/>
        <v>2151</v>
      </c>
      <c r="M66" s="64">
        <f t="shared" si="45"/>
        <v>2151</v>
      </c>
      <c r="N66" s="64">
        <f t="shared" si="45"/>
        <v>2151</v>
      </c>
      <c r="O66" s="64">
        <f t="shared" si="45"/>
        <v>2151</v>
      </c>
      <c r="P66" s="64">
        <f t="shared" si="41"/>
        <v>2151</v>
      </c>
      <c r="Q66" s="64">
        <f t="shared" si="41"/>
        <v>2151</v>
      </c>
      <c r="R66" s="64">
        <f t="shared" si="41"/>
        <v>2151</v>
      </c>
      <c r="S66" s="64">
        <f t="shared" si="41"/>
        <v>2151</v>
      </c>
      <c r="T66" s="64">
        <f t="shared" si="41"/>
        <v>2151</v>
      </c>
      <c r="U66" s="64">
        <f t="shared" si="41"/>
        <v>2151</v>
      </c>
      <c r="V66" s="64">
        <f t="shared" si="41"/>
        <v>2151</v>
      </c>
      <c r="W66" s="64">
        <f t="shared" si="41"/>
        <v>2151</v>
      </c>
      <c r="X66" s="64">
        <f t="shared" si="41"/>
        <v>2151</v>
      </c>
      <c r="Y66" s="64">
        <f t="shared" si="41"/>
        <v>2151</v>
      </c>
      <c r="Z66" s="64">
        <f t="shared" si="41"/>
        <v>2151</v>
      </c>
      <c r="AA66" s="64">
        <f t="shared" si="41"/>
        <v>2151</v>
      </c>
      <c r="AB66" s="64">
        <f t="shared" si="41"/>
        <v>2151</v>
      </c>
      <c r="AC66" s="64">
        <f t="shared" si="41"/>
        <v>2151</v>
      </c>
      <c r="AD66" s="64"/>
    </row>
    <row r="67" spans="2:40" hidden="1" outlineLevel="1" x14ac:dyDescent="0.2">
      <c r="B67" t="s">
        <v>2</v>
      </c>
      <c r="J67" s="64">
        <f>+J$21</f>
        <v>2716</v>
      </c>
      <c r="K67" s="64">
        <f>+J67</f>
        <v>2716</v>
      </c>
      <c r="L67" s="64">
        <f>+K67</f>
        <v>2716</v>
      </c>
      <c r="M67" s="64">
        <f>+L67</f>
        <v>2716</v>
      </c>
      <c r="N67" s="64">
        <f>+M67</f>
        <v>2716</v>
      </c>
      <c r="O67" s="64">
        <f>+N67</f>
        <v>2716</v>
      </c>
      <c r="P67" s="64">
        <f t="shared" si="41"/>
        <v>2716</v>
      </c>
      <c r="Q67" s="64">
        <f t="shared" si="41"/>
        <v>2716</v>
      </c>
      <c r="R67" s="64">
        <f t="shared" si="41"/>
        <v>2716</v>
      </c>
      <c r="S67" s="64">
        <f t="shared" si="41"/>
        <v>2716</v>
      </c>
      <c r="T67" s="64">
        <f t="shared" si="41"/>
        <v>2716</v>
      </c>
      <c r="U67" s="64">
        <f t="shared" si="41"/>
        <v>2716</v>
      </c>
      <c r="V67" s="64">
        <f t="shared" si="41"/>
        <v>2716</v>
      </c>
      <c r="W67" s="64">
        <f t="shared" si="41"/>
        <v>2716</v>
      </c>
      <c r="X67" s="64">
        <f t="shared" si="41"/>
        <v>2716</v>
      </c>
      <c r="Y67" s="64">
        <f t="shared" si="41"/>
        <v>2716</v>
      </c>
      <c r="Z67" s="64">
        <f t="shared" si="41"/>
        <v>2716</v>
      </c>
      <c r="AA67" s="64">
        <f t="shared" si="41"/>
        <v>2716</v>
      </c>
      <c r="AB67" s="64">
        <f t="shared" si="41"/>
        <v>2716</v>
      </c>
      <c r="AC67" s="64">
        <f t="shared" si="41"/>
        <v>2716</v>
      </c>
      <c r="AD67" s="64"/>
      <c r="AE67" s="64"/>
    </row>
    <row r="68" spans="2:40" hidden="1" outlineLevel="1" x14ac:dyDescent="0.2">
      <c r="B68" t="s">
        <v>3</v>
      </c>
      <c r="K68" s="64">
        <f>+K$21</f>
        <v>5432</v>
      </c>
      <c r="L68" s="64">
        <f>+K68</f>
        <v>5432</v>
      </c>
      <c r="M68" s="64">
        <f t="shared" si="41"/>
        <v>5432</v>
      </c>
      <c r="N68" s="64">
        <f t="shared" si="41"/>
        <v>5432</v>
      </c>
      <c r="O68" s="64">
        <f t="shared" si="41"/>
        <v>5432</v>
      </c>
      <c r="P68" s="64">
        <f t="shared" si="41"/>
        <v>5432</v>
      </c>
      <c r="Q68" s="64">
        <f t="shared" si="41"/>
        <v>5432</v>
      </c>
      <c r="R68" s="64">
        <f t="shared" si="41"/>
        <v>5432</v>
      </c>
      <c r="S68" s="64">
        <f t="shared" si="41"/>
        <v>5432</v>
      </c>
      <c r="T68" s="64">
        <f t="shared" si="41"/>
        <v>5432</v>
      </c>
      <c r="U68" s="64">
        <f t="shared" si="41"/>
        <v>5432</v>
      </c>
      <c r="V68" s="64">
        <f t="shared" si="41"/>
        <v>5432</v>
      </c>
      <c r="W68" s="64">
        <f t="shared" si="41"/>
        <v>5432</v>
      </c>
      <c r="X68" s="64">
        <f t="shared" si="41"/>
        <v>5432</v>
      </c>
      <c r="Y68" s="64">
        <f t="shared" si="41"/>
        <v>5432</v>
      </c>
      <c r="Z68" s="64">
        <f t="shared" si="41"/>
        <v>5432</v>
      </c>
      <c r="AA68" s="64">
        <f t="shared" si="41"/>
        <v>5432</v>
      </c>
      <c r="AB68" s="64">
        <f t="shared" si="41"/>
        <v>5432</v>
      </c>
      <c r="AC68" s="64">
        <f t="shared" si="41"/>
        <v>5432</v>
      </c>
      <c r="AD68" s="64"/>
      <c r="AE68" s="64"/>
      <c r="AF68" s="64"/>
    </row>
    <row r="69" spans="2:40" hidden="1" outlineLevel="1" x14ac:dyDescent="0.2">
      <c r="B69" t="s">
        <v>4</v>
      </c>
      <c r="L69" s="64">
        <f>+L$21</f>
        <v>9000</v>
      </c>
      <c r="M69" s="64">
        <f>+L69</f>
        <v>9000</v>
      </c>
      <c r="N69" s="64">
        <f t="shared" si="41"/>
        <v>9000</v>
      </c>
      <c r="O69" s="64">
        <f t="shared" si="41"/>
        <v>9000</v>
      </c>
      <c r="P69" s="64">
        <f t="shared" si="41"/>
        <v>9000</v>
      </c>
      <c r="Q69" s="64">
        <f t="shared" si="41"/>
        <v>9000</v>
      </c>
      <c r="R69" s="64">
        <f t="shared" si="41"/>
        <v>9000</v>
      </c>
      <c r="S69" s="64">
        <f t="shared" si="41"/>
        <v>9000</v>
      </c>
      <c r="T69" s="64">
        <f t="shared" si="41"/>
        <v>9000</v>
      </c>
      <c r="U69" s="64">
        <f t="shared" si="41"/>
        <v>9000</v>
      </c>
      <c r="V69" s="64">
        <f t="shared" si="41"/>
        <v>9000</v>
      </c>
      <c r="W69" s="64">
        <f t="shared" si="41"/>
        <v>9000</v>
      </c>
      <c r="X69" s="64">
        <f t="shared" si="41"/>
        <v>9000</v>
      </c>
      <c r="Y69" s="64">
        <f t="shared" si="41"/>
        <v>9000</v>
      </c>
      <c r="Z69" s="64">
        <f t="shared" si="41"/>
        <v>9000</v>
      </c>
      <c r="AA69" s="64">
        <f t="shared" si="41"/>
        <v>9000</v>
      </c>
      <c r="AB69" s="64">
        <f t="shared" si="41"/>
        <v>9000</v>
      </c>
      <c r="AC69" s="64">
        <f t="shared" si="41"/>
        <v>9000</v>
      </c>
      <c r="AD69" s="64"/>
      <c r="AE69" s="64"/>
      <c r="AF69" s="64"/>
      <c r="AG69" s="64"/>
    </row>
    <row r="70" spans="2:40" hidden="1" outlineLevel="1" x14ac:dyDescent="0.2">
      <c r="B70" t="s">
        <v>5</v>
      </c>
      <c r="M70" s="64">
        <f>+M$21</f>
        <v>11542</v>
      </c>
      <c r="N70" s="64">
        <f>+M70</f>
        <v>11542</v>
      </c>
      <c r="O70" s="64">
        <f t="shared" si="41"/>
        <v>11542</v>
      </c>
      <c r="P70" s="64">
        <f t="shared" si="41"/>
        <v>11542</v>
      </c>
      <c r="Q70" s="64">
        <f t="shared" si="41"/>
        <v>11542</v>
      </c>
      <c r="R70" s="64">
        <f t="shared" si="41"/>
        <v>11542</v>
      </c>
      <c r="S70" s="64">
        <f t="shared" si="41"/>
        <v>11542</v>
      </c>
      <c r="T70" s="64">
        <f t="shared" si="41"/>
        <v>11542</v>
      </c>
      <c r="U70" s="64">
        <f t="shared" si="41"/>
        <v>11542</v>
      </c>
      <c r="V70" s="64">
        <f t="shared" si="41"/>
        <v>11542</v>
      </c>
      <c r="W70" s="64">
        <f t="shared" si="41"/>
        <v>11542</v>
      </c>
      <c r="X70" s="64">
        <f t="shared" si="41"/>
        <v>11542</v>
      </c>
      <c r="Y70" s="64">
        <f t="shared" si="41"/>
        <v>11542</v>
      </c>
      <c r="Z70" s="64">
        <f t="shared" si="41"/>
        <v>11542</v>
      </c>
      <c r="AA70" s="64">
        <f t="shared" si="41"/>
        <v>11542</v>
      </c>
      <c r="AB70" s="64">
        <f t="shared" si="41"/>
        <v>11542</v>
      </c>
      <c r="AC70" s="64">
        <f t="shared" si="41"/>
        <v>11542</v>
      </c>
      <c r="AD70" s="64"/>
      <c r="AE70" s="64"/>
      <c r="AF70" s="64"/>
      <c r="AG70" s="64"/>
      <c r="AH70" s="64"/>
    </row>
    <row r="71" spans="2:40" hidden="1" outlineLevel="1" x14ac:dyDescent="0.2">
      <c r="B71" t="s">
        <v>6</v>
      </c>
      <c r="N71" s="64">
        <f>+N$21</f>
        <v>13876</v>
      </c>
      <c r="O71" s="64">
        <f>+N71</f>
        <v>13876</v>
      </c>
      <c r="P71" s="64">
        <f t="shared" si="41"/>
        <v>13876</v>
      </c>
      <c r="Q71" s="64">
        <f t="shared" si="41"/>
        <v>13876</v>
      </c>
      <c r="R71" s="64">
        <f t="shared" si="41"/>
        <v>13876</v>
      </c>
      <c r="S71" s="64">
        <f t="shared" si="41"/>
        <v>13876</v>
      </c>
      <c r="T71" s="64">
        <f t="shared" si="41"/>
        <v>13876</v>
      </c>
      <c r="U71" s="64">
        <f t="shared" si="41"/>
        <v>13876</v>
      </c>
      <c r="V71" s="64">
        <f t="shared" si="41"/>
        <v>13876</v>
      </c>
      <c r="W71" s="64">
        <f t="shared" si="41"/>
        <v>13876</v>
      </c>
      <c r="X71" s="64">
        <f t="shared" si="41"/>
        <v>13876</v>
      </c>
      <c r="Y71" s="64">
        <f t="shared" si="41"/>
        <v>13876</v>
      </c>
      <c r="Z71" s="64">
        <f t="shared" si="41"/>
        <v>13876</v>
      </c>
      <c r="AA71" s="64">
        <f t="shared" si="41"/>
        <v>13876</v>
      </c>
      <c r="AB71" s="64">
        <f t="shared" si="41"/>
        <v>13876</v>
      </c>
      <c r="AC71" s="64">
        <f t="shared" si="41"/>
        <v>13876</v>
      </c>
      <c r="AD71" s="64"/>
      <c r="AE71" s="64"/>
      <c r="AF71" s="64"/>
      <c r="AG71" s="64"/>
      <c r="AH71" s="64"/>
      <c r="AI71" s="64"/>
    </row>
    <row r="72" spans="2:40" hidden="1" outlineLevel="1" x14ac:dyDescent="0.2">
      <c r="B72" t="s">
        <v>321</v>
      </c>
      <c r="O72" s="64">
        <f>+O$21</f>
        <v>13439</v>
      </c>
      <c r="P72" s="64">
        <f>+O72</f>
        <v>13439</v>
      </c>
      <c r="Q72" s="64">
        <f t="shared" si="41"/>
        <v>13439</v>
      </c>
      <c r="R72" s="64">
        <f t="shared" si="41"/>
        <v>13439</v>
      </c>
      <c r="S72" s="64">
        <f t="shared" si="41"/>
        <v>13439</v>
      </c>
      <c r="T72" s="64">
        <f t="shared" si="41"/>
        <v>13439</v>
      </c>
      <c r="U72" s="64">
        <f t="shared" si="41"/>
        <v>13439</v>
      </c>
      <c r="V72" s="64">
        <f t="shared" si="41"/>
        <v>13439</v>
      </c>
      <c r="W72" s="64">
        <f t="shared" si="41"/>
        <v>13439</v>
      </c>
      <c r="X72" s="64">
        <f t="shared" si="41"/>
        <v>13439</v>
      </c>
      <c r="Y72" s="64">
        <f t="shared" si="41"/>
        <v>13439</v>
      </c>
      <c r="Z72" s="64">
        <f t="shared" si="41"/>
        <v>13439</v>
      </c>
      <c r="AA72" s="64">
        <f t="shared" si="41"/>
        <v>13439</v>
      </c>
      <c r="AB72" s="64">
        <f t="shared" si="41"/>
        <v>13439</v>
      </c>
      <c r="AC72" s="64">
        <f t="shared" si="41"/>
        <v>13439</v>
      </c>
      <c r="AD72" s="64"/>
      <c r="AE72" s="64"/>
      <c r="AF72" s="64"/>
      <c r="AG72" s="64"/>
      <c r="AH72" s="64"/>
      <c r="AI72" s="64"/>
      <c r="AJ72" s="64"/>
    </row>
    <row r="73" spans="2:40" hidden="1" outlineLevel="1" x14ac:dyDescent="0.2">
      <c r="B73" t="s">
        <v>306</v>
      </c>
      <c r="P73" s="64">
        <f>+P$21</f>
        <v>16239</v>
      </c>
      <c r="Q73" s="64">
        <f>+P73</f>
        <v>16239</v>
      </c>
      <c r="R73" s="64">
        <f t="shared" si="41"/>
        <v>16239</v>
      </c>
      <c r="S73" s="64">
        <f t="shared" si="41"/>
        <v>16239</v>
      </c>
      <c r="T73" s="64">
        <f t="shared" si="41"/>
        <v>16239</v>
      </c>
      <c r="U73" s="64">
        <f t="shared" si="41"/>
        <v>16239</v>
      </c>
      <c r="V73" s="64">
        <f t="shared" si="41"/>
        <v>16239</v>
      </c>
      <c r="W73" s="64">
        <f t="shared" si="41"/>
        <v>16239</v>
      </c>
      <c r="X73" s="64">
        <f t="shared" si="41"/>
        <v>16239</v>
      </c>
      <c r="Y73" s="64">
        <f t="shared" si="41"/>
        <v>16239</v>
      </c>
      <c r="Z73" s="64">
        <f t="shared" si="41"/>
        <v>16239</v>
      </c>
      <c r="AA73" s="64">
        <f t="shared" si="41"/>
        <v>16239</v>
      </c>
      <c r="AB73" s="64">
        <f t="shared" si="41"/>
        <v>16239</v>
      </c>
      <c r="AC73" s="64">
        <f t="shared" si="41"/>
        <v>16239</v>
      </c>
      <c r="AD73" s="64"/>
      <c r="AE73" s="64"/>
      <c r="AF73" s="64"/>
      <c r="AG73" s="64"/>
      <c r="AH73" s="64"/>
      <c r="AI73" s="64"/>
      <c r="AJ73" s="64"/>
      <c r="AK73" s="64"/>
    </row>
    <row r="74" spans="2:40" hidden="1" outlineLevel="1" x14ac:dyDescent="0.2">
      <c r="B74" t="s">
        <v>357</v>
      </c>
      <c r="Q74" s="64">
        <f>+Q$21</f>
        <v>26011</v>
      </c>
      <c r="R74" s="64">
        <f>+Q74</f>
        <v>26011</v>
      </c>
      <c r="S74" s="64">
        <f t="shared" si="41"/>
        <v>26011</v>
      </c>
      <c r="T74" s="64">
        <f t="shared" si="41"/>
        <v>26011</v>
      </c>
      <c r="U74" s="64">
        <f t="shared" si="41"/>
        <v>26011</v>
      </c>
      <c r="V74" s="64">
        <f t="shared" si="41"/>
        <v>26011</v>
      </c>
      <c r="W74" s="64">
        <f t="shared" si="41"/>
        <v>26011</v>
      </c>
      <c r="X74" s="64">
        <f t="shared" si="41"/>
        <v>26011</v>
      </c>
      <c r="Y74" s="64">
        <f t="shared" si="41"/>
        <v>26011</v>
      </c>
      <c r="Z74" s="64">
        <f t="shared" si="41"/>
        <v>26011</v>
      </c>
      <c r="AA74" s="64">
        <f t="shared" si="41"/>
        <v>26011</v>
      </c>
      <c r="AB74" s="64">
        <f t="shared" si="41"/>
        <v>26011</v>
      </c>
      <c r="AC74" s="64">
        <f t="shared" si="41"/>
        <v>26011</v>
      </c>
      <c r="AD74" s="64"/>
      <c r="AE74" s="64"/>
      <c r="AF74" s="64"/>
      <c r="AG74" s="64"/>
      <c r="AH74" s="64"/>
      <c r="AI74" s="64"/>
      <c r="AJ74" s="64"/>
      <c r="AK74" s="64"/>
      <c r="AL74" s="64"/>
    </row>
    <row r="75" spans="2:40" hidden="1" outlineLevel="1" x14ac:dyDescent="0.2">
      <c r="B75" t="s">
        <v>7</v>
      </c>
      <c r="R75" s="64">
        <f>+R$21</f>
        <v>34177.032715238092</v>
      </c>
      <c r="S75" s="64">
        <f>+R75</f>
        <v>34177.032715238092</v>
      </c>
      <c r="T75" s="64">
        <f t="shared" si="41"/>
        <v>34177.032715238092</v>
      </c>
      <c r="U75" s="64">
        <f t="shared" si="41"/>
        <v>34177.032715238092</v>
      </c>
      <c r="V75" s="64">
        <f t="shared" si="41"/>
        <v>34177.032715238092</v>
      </c>
      <c r="W75" s="64">
        <f t="shared" si="41"/>
        <v>34177.032715238092</v>
      </c>
      <c r="X75" s="64">
        <f t="shared" si="41"/>
        <v>34177.032715238092</v>
      </c>
      <c r="Y75" s="64">
        <f t="shared" si="41"/>
        <v>34177.032715238092</v>
      </c>
      <c r="Z75" s="64">
        <f t="shared" si="41"/>
        <v>34177.032715238092</v>
      </c>
      <c r="AA75" s="64">
        <f t="shared" si="41"/>
        <v>34177.032715238092</v>
      </c>
      <c r="AB75" s="64">
        <f t="shared" si="41"/>
        <v>34177.032715238092</v>
      </c>
      <c r="AC75" s="64">
        <f t="shared" si="41"/>
        <v>34177.032715238092</v>
      </c>
      <c r="AD75" s="64"/>
      <c r="AE75" s="64"/>
      <c r="AF75" s="64"/>
      <c r="AG75" s="64"/>
      <c r="AH75" s="64"/>
      <c r="AI75" s="64"/>
      <c r="AJ75" s="64"/>
      <c r="AK75" s="64"/>
      <c r="AL75" s="64"/>
      <c r="AM75" s="64"/>
    </row>
    <row r="76" spans="2:40" hidden="1" outlineLevel="1" x14ac:dyDescent="0.2">
      <c r="B76" t="s">
        <v>8</v>
      </c>
      <c r="S76" s="64">
        <f>+S$21</f>
        <v>37986.529855452492</v>
      </c>
      <c r="T76" s="64">
        <f>+S76</f>
        <v>37986.529855452492</v>
      </c>
      <c r="U76" s="64">
        <f t="shared" si="41"/>
        <v>37986.529855452492</v>
      </c>
      <c r="V76" s="64">
        <f t="shared" si="41"/>
        <v>37986.529855452492</v>
      </c>
      <c r="W76" s="64">
        <f t="shared" si="41"/>
        <v>37986.529855452492</v>
      </c>
      <c r="X76" s="64">
        <f t="shared" si="41"/>
        <v>37986.529855452492</v>
      </c>
      <c r="Y76" s="64">
        <f t="shared" si="41"/>
        <v>37986.529855452492</v>
      </c>
      <c r="Z76" s="64">
        <f t="shared" si="41"/>
        <v>37986.529855452492</v>
      </c>
      <c r="AA76" s="64">
        <f t="shared" si="41"/>
        <v>37986.529855452492</v>
      </c>
      <c r="AB76" s="64">
        <f t="shared" si="41"/>
        <v>37986.529855452492</v>
      </c>
      <c r="AC76" s="64">
        <f t="shared" si="41"/>
        <v>37986.529855452492</v>
      </c>
      <c r="AD76" s="64"/>
      <c r="AE76" s="64"/>
      <c r="AF76" s="64"/>
      <c r="AG76" s="64"/>
      <c r="AH76" s="64"/>
      <c r="AI76" s="64"/>
      <c r="AJ76" s="64"/>
      <c r="AK76" s="64"/>
      <c r="AL76" s="64"/>
      <c r="AM76" s="64"/>
      <c r="AN76" s="64"/>
    </row>
    <row r="77" spans="2:40" hidden="1" outlineLevel="1" x14ac:dyDescent="0.2">
      <c r="B77" t="s">
        <v>9</v>
      </c>
      <c r="S77" s="64"/>
      <c r="T77" s="64">
        <f>+T$21</f>
        <v>37513.656465789369</v>
      </c>
      <c r="U77" s="64">
        <f>+T77</f>
        <v>37513.656465789369</v>
      </c>
      <c r="V77" s="64">
        <f t="shared" si="41"/>
        <v>37513.656465789369</v>
      </c>
      <c r="W77" s="64">
        <f t="shared" si="41"/>
        <v>37513.656465789369</v>
      </c>
      <c r="X77" s="64">
        <f t="shared" si="41"/>
        <v>37513.656465789369</v>
      </c>
      <c r="Y77" s="64">
        <f t="shared" si="41"/>
        <v>37513.656465789369</v>
      </c>
      <c r="Z77" s="64">
        <f t="shared" si="41"/>
        <v>37513.656465789369</v>
      </c>
      <c r="AA77" s="64">
        <f t="shared" si="41"/>
        <v>37513.656465789369</v>
      </c>
      <c r="AB77" s="64">
        <f t="shared" si="41"/>
        <v>37513.656465789369</v>
      </c>
      <c r="AC77" s="64">
        <f t="shared" si="41"/>
        <v>37513.656465789369</v>
      </c>
      <c r="AD77" s="64"/>
      <c r="AE77" s="64"/>
      <c r="AF77" s="64"/>
      <c r="AG77" s="64"/>
      <c r="AH77" s="64"/>
      <c r="AI77" s="64"/>
      <c r="AJ77" s="64"/>
      <c r="AK77" s="64"/>
      <c r="AL77" s="64"/>
      <c r="AM77" s="64"/>
      <c r="AN77" s="64"/>
    </row>
    <row r="78" spans="2:40" hidden="1" outlineLevel="1" x14ac:dyDescent="0.2">
      <c r="B78" t="s">
        <v>10</v>
      </c>
      <c r="S78" s="64"/>
      <c r="T78" s="64"/>
      <c r="U78" s="64">
        <f>+U$21</f>
        <v>40149.87799394341</v>
      </c>
      <c r="V78" s="64">
        <f>+U78</f>
        <v>40149.87799394341</v>
      </c>
      <c r="W78" s="64">
        <f t="shared" ref="W78:AC83" si="46">+V78</f>
        <v>40149.87799394341</v>
      </c>
      <c r="X78" s="64">
        <f t="shared" si="46"/>
        <v>40149.87799394341</v>
      </c>
      <c r="Y78" s="64">
        <f t="shared" si="46"/>
        <v>40149.87799394341</v>
      </c>
      <c r="Z78" s="64">
        <f t="shared" si="46"/>
        <v>40149.87799394341</v>
      </c>
      <c r="AA78" s="64">
        <f t="shared" si="46"/>
        <v>40149.87799394341</v>
      </c>
      <c r="AB78" s="64">
        <f t="shared" si="46"/>
        <v>40149.87799394341</v>
      </c>
      <c r="AC78" s="64">
        <f t="shared" si="46"/>
        <v>40149.87799394341</v>
      </c>
      <c r="AD78" s="64"/>
      <c r="AE78" s="64"/>
      <c r="AF78" s="64"/>
      <c r="AG78" s="64"/>
      <c r="AH78" s="64"/>
      <c r="AI78" s="64"/>
      <c r="AJ78" s="64"/>
      <c r="AK78" s="64"/>
      <c r="AL78" s="64"/>
      <c r="AM78" s="64"/>
      <c r="AN78" s="64"/>
    </row>
    <row r="79" spans="2:40" hidden="1" outlineLevel="1" x14ac:dyDescent="0.2">
      <c r="B79" t="s">
        <v>11</v>
      </c>
      <c r="S79" s="64"/>
      <c r="T79" s="64"/>
      <c r="U79" s="64"/>
      <c r="V79" s="64">
        <f>+V$21</f>
        <v>42645.311934547055</v>
      </c>
      <c r="W79" s="64">
        <f>+V79</f>
        <v>42645.311934547055</v>
      </c>
      <c r="X79" s="64">
        <f t="shared" si="46"/>
        <v>42645.311934547055</v>
      </c>
      <c r="Y79" s="64">
        <f t="shared" si="46"/>
        <v>42645.311934547055</v>
      </c>
      <c r="Z79" s="64">
        <f t="shared" si="46"/>
        <v>42645.311934547055</v>
      </c>
      <c r="AA79" s="64">
        <f t="shared" si="46"/>
        <v>42645.311934547055</v>
      </c>
      <c r="AB79" s="64">
        <f t="shared" si="46"/>
        <v>42645.311934547055</v>
      </c>
      <c r="AC79" s="64">
        <f t="shared" si="46"/>
        <v>42645.311934547055</v>
      </c>
      <c r="AD79" s="64"/>
      <c r="AE79" s="64"/>
      <c r="AF79" s="64"/>
      <c r="AG79" s="64"/>
      <c r="AH79" s="64"/>
      <c r="AI79" s="64"/>
      <c r="AJ79" s="64"/>
      <c r="AK79" s="64"/>
      <c r="AL79" s="64"/>
      <c r="AM79" s="64"/>
      <c r="AN79" s="64"/>
    </row>
    <row r="80" spans="2:40" hidden="1" outlineLevel="1" x14ac:dyDescent="0.2">
      <c r="B80" t="s">
        <v>12</v>
      </c>
      <c r="S80" s="64"/>
      <c r="T80" s="64"/>
      <c r="U80" s="64"/>
      <c r="V80" s="64"/>
      <c r="W80" s="64">
        <f>+W$21</f>
        <v>47119.448458107981</v>
      </c>
      <c r="X80" s="64">
        <f>+W80</f>
        <v>47119.448458107981</v>
      </c>
      <c r="Y80" s="64">
        <f t="shared" si="46"/>
        <v>47119.448458107981</v>
      </c>
      <c r="Z80" s="64">
        <f t="shared" si="46"/>
        <v>47119.448458107981</v>
      </c>
      <c r="AA80" s="64">
        <f t="shared" si="46"/>
        <v>47119.448458107981</v>
      </c>
      <c r="AB80" s="64">
        <f t="shared" si="46"/>
        <v>47119.448458107981</v>
      </c>
      <c r="AC80" s="64">
        <f t="shared" si="46"/>
        <v>47119.448458107981</v>
      </c>
      <c r="AD80" s="64"/>
      <c r="AE80" s="64"/>
      <c r="AF80" s="64"/>
      <c r="AG80" s="64"/>
      <c r="AH80" s="64"/>
      <c r="AI80" s="64"/>
      <c r="AJ80" s="64"/>
      <c r="AK80" s="64"/>
      <c r="AL80" s="64"/>
      <c r="AM80" s="64"/>
      <c r="AN80" s="64"/>
    </row>
    <row r="81" spans="2:40" hidden="1" outlineLevel="1" x14ac:dyDescent="0.2">
      <c r="B81" t="s">
        <v>13</v>
      </c>
      <c r="S81" s="64"/>
      <c r="T81" s="64"/>
      <c r="U81" s="64"/>
      <c r="V81" s="64"/>
      <c r="W81" s="64"/>
      <c r="X81" s="64">
        <f>+X$21</f>
        <v>51836.650829826758</v>
      </c>
      <c r="Y81" s="64">
        <f>+X81</f>
        <v>51836.650829826758</v>
      </c>
      <c r="Z81" s="64">
        <f t="shared" si="46"/>
        <v>51836.650829826758</v>
      </c>
      <c r="AA81" s="64">
        <f t="shared" si="46"/>
        <v>51836.650829826758</v>
      </c>
      <c r="AB81" s="64">
        <f t="shared" si="46"/>
        <v>51836.650829826758</v>
      </c>
      <c r="AC81" s="64">
        <f t="shared" si="46"/>
        <v>51836.650829826758</v>
      </c>
      <c r="AD81" s="64"/>
      <c r="AE81" s="64"/>
      <c r="AF81" s="64"/>
      <c r="AG81" s="64"/>
      <c r="AH81" s="64"/>
      <c r="AI81" s="64"/>
      <c r="AJ81" s="64"/>
      <c r="AK81" s="64"/>
      <c r="AL81" s="64"/>
      <c r="AM81" s="64"/>
      <c r="AN81" s="64"/>
    </row>
    <row r="82" spans="2:40" hidden="1" outlineLevel="1" x14ac:dyDescent="0.2">
      <c r="B82" t="s">
        <v>14</v>
      </c>
      <c r="S82" s="64"/>
      <c r="T82" s="64"/>
      <c r="U82" s="64"/>
      <c r="V82" s="64"/>
      <c r="W82" s="64"/>
      <c r="X82" s="64"/>
      <c r="Y82" s="64">
        <f>+Y$21</f>
        <v>56808.22647132531</v>
      </c>
      <c r="Z82" s="64">
        <f>+Y82</f>
        <v>56808.22647132531</v>
      </c>
      <c r="AA82" s="64">
        <f t="shared" si="46"/>
        <v>56808.22647132531</v>
      </c>
      <c r="AB82" s="64">
        <f t="shared" si="46"/>
        <v>56808.22647132531</v>
      </c>
      <c r="AC82" s="64">
        <f t="shared" si="46"/>
        <v>56808.22647132531</v>
      </c>
      <c r="AD82" s="64"/>
      <c r="AE82" s="64"/>
      <c r="AF82" s="64"/>
      <c r="AG82" s="64"/>
      <c r="AH82" s="64"/>
      <c r="AI82" s="64"/>
      <c r="AJ82" s="64"/>
      <c r="AK82" s="64"/>
      <c r="AL82" s="64"/>
      <c r="AM82" s="64"/>
      <c r="AN82" s="64"/>
    </row>
    <row r="83" spans="2:40" hidden="1" outlineLevel="1" x14ac:dyDescent="0.2">
      <c r="B83" t="s">
        <v>15</v>
      </c>
      <c r="S83" s="64"/>
      <c r="T83" s="64"/>
      <c r="U83" s="64"/>
      <c r="V83" s="64"/>
      <c r="W83" s="64"/>
      <c r="X83" s="64"/>
      <c r="Y83" s="64"/>
      <c r="Z83" s="64">
        <f>+Z$21</f>
        <v>62046.766092626516</v>
      </c>
      <c r="AA83" s="64">
        <f>+Z83</f>
        <v>62046.766092626516</v>
      </c>
      <c r="AB83" s="64">
        <f t="shared" si="46"/>
        <v>62046.766092626516</v>
      </c>
      <c r="AC83" s="64">
        <f t="shared" si="46"/>
        <v>62046.766092626516</v>
      </c>
      <c r="AD83" s="64"/>
      <c r="AE83" s="64"/>
      <c r="AF83" s="64"/>
      <c r="AG83" s="64"/>
      <c r="AH83" s="64"/>
      <c r="AI83" s="64"/>
      <c r="AJ83" s="64"/>
      <c r="AK83" s="64"/>
      <c r="AL83" s="64"/>
      <c r="AM83" s="64"/>
      <c r="AN83" s="64"/>
    </row>
    <row r="84" spans="2:40" hidden="1" outlineLevel="1" x14ac:dyDescent="0.2">
      <c r="B84" t="s">
        <v>325</v>
      </c>
      <c r="S84" s="64"/>
      <c r="T84" s="64"/>
      <c r="U84" s="64"/>
      <c r="V84" s="64"/>
      <c r="W84" s="64"/>
      <c r="X84" s="64"/>
      <c r="Y84" s="64"/>
      <c r="Z84" s="64"/>
      <c r="AA84" s="64">
        <f>+AA$21</f>
        <v>67566.140089786248</v>
      </c>
      <c r="AB84" s="64">
        <f>+AA84</f>
        <v>67566.140089786248</v>
      </c>
      <c r="AC84" s="64">
        <f>+AB84</f>
        <v>67566.140089786248</v>
      </c>
      <c r="AD84" s="64"/>
      <c r="AE84" s="64"/>
      <c r="AF84" s="64"/>
      <c r="AG84" s="64"/>
      <c r="AH84" s="64"/>
      <c r="AI84" s="64"/>
      <c r="AJ84" s="64"/>
      <c r="AK84" s="64"/>
      <c r="AL84" s="64"/>
      <c r="AM84" s="64"/>
      <c r="AN84" s="64"/>
    </row>
    <row r="85" spans="2:40" hidden="1" outlineLevel="1" x14ac:dyDescent="0.2">
      <c r="B85" t="s">
        <v>346</v>
      </c>
      <c r="S85" s="64"/>
      <c r="T85" s="64"/>
      <c r="U85" s="64"/>
      <c r="V85" s="64"/>
      <c r="W85" s="64"/>
      <c r="X85" s="64"/>
      <c r="Y85" s="64"/>
      <c r="Z85" s="64"/>
      <c r="AA85" s="64"/>
      <c r="AB85" s="64">
        <f>+AB$21</f>
        <v>73381.504617821964</v>
      </c>
      <c r="AC85" s="64">
        <f>+AB85</f>
        <v>73381.504617821964</v>
      </c>
      <c r="AD85" s="64"/>
      <c r="AE85" s="64"/>
      <c r="AF85" s="64"/>
      <c r="AG85" s="64"/>
      <c r="AH85" s="64"/>
      <c r="AI85" s="64"/>
      <c r="AJ85" s="64"/>
      <c r="AK85" s="64"/>
      <c r="AL85" s="64"/>
      <c r="AM85" s="64"/>
      <c r="AN85" s="64"/>
    </row>
    <row r="86" spans="2:40" hidden="1" outlineLevel="1" x14ac:dyDescent="0.2">
      <c r="B86" t="s">
        <v>426</v>
      </c>
      <c r="S86" s="64"/>
      <c r="T86" s="64"/>
      <c r="U86" s="64"/>
      <c r="V86" s="64"/>
      <c r="W86" s="64"/>
      <c r="X86" s="64"/>
      <c r="Y86" s="64"/>
      <c r="Z86" s="64"/>
      <c r="AA86" s="64"/>
      <c r="AB86" s="64"/>
      <c r="AC86" s="64">
        <f>+AC$21</f>
        <v>79509.316734130407</v>
      </c>
      <c r="AD86" s="64"/>
      <c r="AE86" s="64"/>
      <c r="AF86" s="64"/>
      <c r="AG86" s="64"/>
      <c r="AH86" s="64"/>
      <c r="AI86" s="64"/>
      <c r="AJ86" s="64"/>
      <c r="AK86" s="64"/>
      <c r="AL86" s="64"/>
      <c r="AM86" s="64"/>
      <c r="AN86" s="64"/>
    </row>
    <row r="87" spans="2:40" hidden="1" outlineLevel="1" x14ac:dyDescent="0.2"/>
    <row r="88" spans="2:40" hidden="1" outlineLevel="1" x14ac:dyDescent="0.2">
      <c r="B88" s="54" t="s">
        <v>388</v>
      </c>
    </row>
    <row r="89" spans="2:40" hidden="1" outlineLevel="1" x14ac:dyDescent="0.2">
      <c r="B89" t="s">
        <v>371</v>
      </c>
      <c r="E89" s="64">
        <f>+SUM($D24:E24)</f>
        <v>162</v>
      </c>
      <c r="F89" s="64">
        <f>+SUM($D24:F24)</f>
        <v>324</v>
      </c>
      <c r="G89" s="64">
        <f>+SUM($D24:G24)</f>
        <v>486</v>
      </c>
      <c r="H89" s="64">
        <f>+SUM($D24:H24)</f>
        <v>648</v>
      </c>
      <c r="I89" s="64">
        <f>+SUM($D24:I24)</f>
        <v>810</v>
      </c>
      <c r="J89" s="64">
        <f>+SUM($D24:J24)</f>
        <v>972</v>
      </c>
      <c r="K89" s="64">
        <f>+SUM($D24:K24)</f>
        <v>972</v>
      </c>
      <c r="L89" s="64">
        <f>+SUM($D24:L24)</f>
        <v>972</v>
      </c>
      <c r="M89" s="64">
        <f>+SUM($D24:M24)</f>
        <v>972</v>
      </c>
      <c r="N89" s="64">
        <f>+SUM($D24:N24)</f>
        <v>972</v>
      </c>
      <c r="O89" s="64">
        <f>+SUM($D24:O24)</f>
        <v>972</v>
      </c>
      <c r="P89" s="64">
        <f>+SUM($D24:P24)</f>
        <v>972</v>
      </c>
      <c r="Q89" s="64">
        <f>+SUM($D24:Q24)</f>
        <v>972</v>
      </c>
      <c r="R89" s="64">
        <f>+SUM($D24:R24)</f>
        <v>972</v>
      </c>
      <c r="S89" s="64">
        <f>+SUM($D24:S24)</f>
        <v>972</v>
      </c>
      <c r="T89" s="64">
        <f>+SUM($D24:T24)</f>
        <v>972</v>
      </c>
      <c r="U89" s="64">
        <f>+SUM($D24:U24)</f>
        <v>972</v>
      </c>
      <c r="V89" s="64">
        <f>+SUM($D24:V24)</f>
        <v>972</v>
      </c>
      <c r="W89" s="64">
        <f>+SUM($D24:W24)</f>
        <v>972</v>
      </c>
      <c r="X89" s="64">
        <f>+SUM($D24:X24)</f>
        <v>972</v>
      </c>
      <c r="Y89" s="64">
        <f>+SUM($D24:Y24)</f>
        <v>972</v>
      </c>
      <c r="Z89" s="64">
        <f>+SUM($D24:Z24)</f>
        <v>972</v>
      </c>
      <c r="AA89" s="64">
        <f>+SUM($D24:AA24)</f>
        <v>972</v>
      </c>
      <c r="AB89" s="64">
        <f>+SUM($D24:AB24)</f>
        <v>972</v>
      </c>
      <c r="AC89" s="64">
        <f>+SUM($D24:AC24)</f>
        <v>972</v>
      </c>
    </row>
    <row r="90" spans="2:40" hidden="1" outlineLevel="1" x14ac:dyDescent="0.2">
      <c r="B90" t="s">
        <v>106</v>
      </c>
      <c r="F90" s="64">
        <f>+SUM($D25:F25)</f>
        <v>205.16666666666666</v>
      </c>
      <c r="G90" s="64">
        <f>+SUM($D25:G25)</f>
        <v>410.33333333333331</v>
      </c>
      <c r="H90" s="64">
        <f>+SUM($D25:H25)</f>
        <v>615.5</v>
      </c>
      <c r="I90" s="64">
        <f>+SUM($D25:I25)</f>
        <v>820.66666666666663</v>
      </c>
      <c r="J90" s="64">
        <f>+SUM($D25:J25)</f>
        <v>1025.8333333333333</v>
      </c>
      <c r="K90" s="64">
        <f>+SUM($D25:K25)</f>
        <v>1231</v>
      </c>
      <c r="L90" s="64">
        <f>+SUM($D25:L25)</f>
        <v>1231</v>
      </c>
      <c r="M90" s="64">
        <f>+SUM($D25:M25)</f>
        <v>1231</v>
      </c>
      <c r="N90" s="64">
        <f>+SUM($D25:N25)</f>
        <v>1231</v>
      </c>
      <c r="O90" s="64">
        <f>+SUM($D25:O25)</f>
        <v>1231</v>
      </c>
      <c r="P90" s="64">
        <f>+SUM($D25:P25)</f>
        <v>1231</v>
      </c>
      <c r="Q90" s="64">
        <f>+SUM($D25:Q25)</f>
        <v>1231</v>
      </c>
      <c r="R90" s="64">
        <f>+SUM($D25:R25)</f>
        <v>1231</v>
      </c>
      <c r="S90" s="64">
        <f>+SUM($D25:S25)</f>
        <v>1231</v>
      </c>
      <c r="T90" s="64">
        <f>+SUM($D25:T25)</f>
        <v>1231</v>
      </c>
      <c r="U90" s="64">
        <f>+SUM($D25:U25)</f>
        <v>1231</v>
      </c>
      <c r="V90" s="64">
        <f>+SUM($D25:V25)</f>
        <v>1231</v>
      </c>
      <c r="W90" s="64">
        <f>+SUM($D25:W25)</f>
        <v>1231</v>
      </c>
      <c r="X90" s="64">
        <f>+SUM($D25:X25)</f>
        <v>1231</v>
      </c>
      <c r="Y90" s="64">
        <f>+SUM($D25:Y25)</f>
        <v>1231</v>
      </c>
      <c r="Z90" s="64">
        <f>+SUM($D25:Z25)</f>
        <v>1231</v>
      </c>
      <c r="AA90" s="64">
        <f>+SUM($D25:AA25)</f>
        <v>1231</v>
      </c>
      <c r="AB90" s="64">
        <f>+SUM($D25:AB25)</f>
        <v>1231</v>
      </c>
      <c r="AC90" s="64">
        <f>+SUM($D25:AC25)</f>
        <v>1231</v>
      </c>
    </row>
    <row r="91" spans="2:40" hidden="1" outlineLevel="1" x14ac:dyDescent="0.2">
      <c r="B91" t="s">
        <v>107</v>
      </c>
      <c r="G91" s="64">
        <f>+SUM($D26:G26)</f>
        <v>156</v>
      </c>
      <c r="H91" s="64">
        <f>+SUM($D26:H26)</f>
        <v>312</v>
      </c>
      <c r="I91" s="64">
        <f>+SUM($D26:I26)</f>
        <v>468</v>
      </c>
      <c r="J91" s="64">
        <f>+SUM($D26:J26)</f>
        <v>624</v>
      </c>
      <c r="K91" s="64">
        <f>+SUM($D26:K26)</f>
        <v>780</v>
      </c>
      <c r="L91" s="64">
        <f>+SUM($D26:L26)</f>
        <v>936</v>
      </c>
      <c r="M91" s="64">
        <f>+SUM($D26:M26)</f>
        <v>936</v>
      </c>
      <c r="N91" s="64">
        <f>+SUM($D26:N26)</f>
        <v>936</v>
      </c>
      <c r="O91" s="64">
        <f>+SUM($D26:O26)</f>
        <v>936</v>
      </c>
      <c r="P91" s="64">
        <f>+SUM($D26:P26)</f>
        <v>936</v>
      </c>
      <c r="Q91" s="64">
        <f>+SUM($D26:Q26)</f>
        <v>936</v>
      </c>
      <c r="R91" s="64">
        <f>+SUM($D26:R26)</f>
        <v>936</v>
      </c>
      <c r="S91" s="64">
        <f>+SUM($D26:S26)</f>
        <v>936</v>
      </c>
      <c r="T91" s="64">
        <f>+SUM($D26:T26)</f>
        <v>936</v>
      </c>
      <c r="U91" s="64">
        <f>+SUM($D26:U26)</f>
        <v>936</v>
      </c>
      <c r="V91" s="64">
        <f>+SUM($D26:V26)</f>
        <v>936</v>
      </c>
      <c r="W91" s="64">
        <f>+SUM($D26:W26)</f>
        <v>936</v>
      </c>
      <c r="X91" s="64">
        <f>+SUM($D26:X26)</f>
        <v>936</v>
      </c>
      <c r="Y91" s="64">
        <f>+SUM($D26:Y26)</f>
        <v>936</v>
      </c>
      <c r="Z91" s="64">
        <f>+SUM($D26:Z26)</f>
        <v>936</v>
      </c>
      <c r="AA91" s="64">
        <f>+SUM($D26:AA26)</f>
        <v>936</v>
      </c>
      <c r="AB91" s="64">
        <f>+SUM($D26:AB26)</f>
        <v>936</v>
      </c>
      <c r="AC91" s="64">
        <f>+SUM($D26:AC26)</f>
        <v>936</v>
      </c>
    </row>
    <row r="92" spans="2:40" hidden="1" outlineLevel="1" x14ac:dyDescent="0.2">
      <c r="B92" t="s">
        <v>0</v>
      </c>
      <c r="H92" s="64">
        <f>+SUM($D27:H27)</f>
        <v>213.5</v>
      </c>
      <c r="I92" s="64">
        <f>+SUM($D27:I27)</f>
        <v>427</v>
      </c>
      <c r="J92" s="64">
        <f>+SUM($D27:J27)</f>
        <v>640.5</v>
      </c>
      <c r="K92" s="64">
        <f>+SUM($D27:K27)</f>
        <v>854</v>
      </c>
      <c r="L92" s="64">
        <f>+SUM($D27:L27)</f>
        <v>1067.5</v>
      </c>
      <c r="M92" s="64">
        <f>+SUM($D27:M27)</f>
        <v>1281</v>
      </c>
      <c r="N92" s="64">
        <f>+SUM($D27:N27)</f>
        <v>1281</v>
      </c>
      <c r="O92" s="64">
        <f>+SUM($D27:O27)</f>
        <v>1281</v>
      </c>
      <c r="P92" s="64">
        <f>+SUM($D27:P27)</f>
        <v>1281</v>
      </c>
      <c r="Q92" s="64">
        <f>+SUM($D27:Q27)</f>
        <v>1281</v>
      </c>
      <c r="R92" s="64">
        <f>+SUM($D27:R27)</f>
        <v>1281</v>
      </c>
      <c r="S92" s="64">
        <f>+SUM($D27:S27)</f>
        <v>1281</v>
      </c>
      <c r="T92" s="64">
        <f>+SUM($D27:T27)</f>
        <v>1281</v>
      </c>
      <c r="U92" s="64">
        <f>+SUM($D27:U27)</f>
        <v>1281</v>
      </c>
      <c r="V92" s="64">
        <f>+SUM($D27:V27)</f>
        <v>1281</v>
      </c>
      <c r="W92" s="64">
        <f>+SUM($D27:W27)</f>
        <v>1281</v>
      </c>
      <c r="X92" s="64">
        <f>+SUM($D27:X27)</f>
        <v>1281</v>
      </c>
      <c r="Y92" s="64">
        <f>+SUM($D27:Y27)</f>
        <v>1281</v>
      </c>
      <c r="Z92" s="64">
        <f>+SUM($D27:Z27)</f>
        <v>1281</v>
      </c>
      <c r="AA92" s="64">
        <f>+SUM($D27:AA27)</f>
        <v>1281</v>
      </c>
      <c r="AB92" s="64">
        <f>+SUM($D27:AB27)</f>
        <v>1281</v>
      </c>
      <c r="AC92" s="64">
        <f>+SUM($D27:AC27)</f>
        <v>1281</v>
      </c>
    </row>
    <row r="93" spans="2:40" hidden="1" outlineLevel="1" x14ac:dyDescent="0.2">
      <c r="B93" t="s">
        <v>1</v>
      </c>
      <c r="I93" s="64">
        <f>+SUM($D28:I28)</f>
        <v>358.5</v>
      </c>
      <c r="J93" s="64">
        <f>+SUM($D28:J28)</f>
        <v>717</v>
      </c>
      <c r="K93" s="64">
        <f>+SUM($D28:K28)</f>
        <v>1075.5</v>
      </c>
      <c r="L93" s="64">
        <f>+SUM($D28:L28)</f>
        <v>1434</v>
      </c>
      <c r="M93" s="64">
        <f>+SUM($D28:M28)</f>
        <v>1792.5</v>
      </c>
      <c r="N93" s="64">
        <f>+SUM($D28:N28)</f>
        <v>2151</v>
      </c>
      <c r="O93" s="64">
        <f>+SUM($D28:O28)</f>
        <v>2151</v>
      </c>
      <c r="P93" s="64">
        <f>+SUM($D28:P28)</f>
        <v>2151</v>
      </c>
      <c r="Q93" s="64">
        <f>+SUM($D28:Q28)</f>
        <v>2151</v>
      </c>
      <c r="R93" s="64">
        <f>+SUM($D28:R28)</f>
        <v>2151</v>
      </c>
      <c r="S93" s="64">
        <f>+SUM($D28:S28)</f>
        <v>2151</v>
      </c>
      <c r="T93" s="64">
        <f>+SUM($D28:T28)</f>
        <v>2151</v>
      </c>
      <c r="U93" s="64">
        <f>+SUM($D28:U28)</f>
        <v>2151</v>
      </c>
      <c r="V93" s="64">
        <f>+SUM($D28:V28)</f>
        <v>2151</v>
      </c>
      <c r="W93" s="64">
        <f>+SUM($D28:W28)</f>
        <v>2151</v>
      </c>
      <c r="X93" s="64">
        <f>+SUM($D28:X28)</f>
        <v>2151</v>
      </c>
      <c r="Y93" s="64">
        <f>+SUM($D28:Y28)</f>
        <v>2151</v>
      </c>
      <c r="Z93" s="64">
        <f>+SUM($D28:Z28)</f>
        <v>2151</v>
      </c>
      <c r="AA93" s="64">
        <f>+SUM($D28:AA28)</f>
        <v>2151</v>
      </c>
      <c r="AB93" s="64">
        <f>+SUM($D28:AB28)</f>
        <v>2151</v>
      </c>
      <c r="AC93" s="64">
        <f>+SUM($D28:AC28)</f>
        <v>2151</v>
      </c>
      <c r="AD93" s="64"/>
    </row>
    <row r="94" spans="2:40" hidden="1" outlineLevel="1" x14ac:dyDescent="0.2">
      <c r="B94" t="s">
        <v>2</v>
      </c>
      <c r="J94" s="64">
        <f>+SUM($D29:J29)</f>
        <v>452.66666666666669</v>
      </c>
      <c r="K94" s="64">
        <f>+SUM($D29:K29)</f>
        <v>905.33333333333337</v>
      </c>
      <c r="L94" s="64">
        <f>+SUM($D29:L29)</f>
        <v>1358</v>
      </c>
      <c r="M94" s="64">
        <f>+SUM($D29:M29)</f>
        <v>1810.6666666666667</v>
      </c>
      <c r="N94" s="64">
        <f>+SUM($D29:N29)</f>
        <v>2263.3333333333335</v>
      </c>
      <c r="O94" s="64">
        <f>+SUM($D29:O29)</f>
        <v>2651.3333333333335</v>
      </c>
      <c r="P94" s="64">
        <f>+SUM($D29:P29)</f>
        <v>2716</v>
      </c>
      <c r="Q94" s="64">
        <f>+SUM($D29:Q29)</f>
        <v>2716</v>
      </c>
      <c r="R94" s="64">
        <f>+SUM($D29:R29)</f>
        <v>2716</v>
      </c>
      <c r="S94" s="64">
        <f>+SUM($D29:S29)</f>
        <v>2716</v>
      </c>
      <c r="T94" s="64">
        <f>+SUM($D29:T29)</f>
        <v>2716</v>
      </c>
      <c r="U94" s="64">
        <f>+SUM($D29:U29)</f>
        <v>2716</v>
      </c>
      <c r="V94" s="64">
        <f>+SUM($D29:V29)</f>
        <v>2716</v>
      </c>
      <c r="W94" s="64">
        <f>+SUM($D29:W29)</f>
        <v>2716</v>
      </c>
      <c r="X94" s="64">
        <f>+SUM($D29:X29)</f>
        <v>2716</v>
      </c>
      <c r="Y94" s="64">
        <f>+SUM($D29:Y29)</f>
        <v>2716</v>
      </c>
      <c r="Z94" s="64">
        <f>+SUM($D29:Z29)</f>
        <v>2716</v>
      </c>
      <c r="AA94" s="64">
        <f>+SUM($D29:AA29)</f>
        <v>2716</v>
      </c>
      <c r="AB94" s="64">
        <f>+SUM($D29:AB29)</f>
        <v>2716</v>
      </c>
      <c r="AC94" s="64">
        <f>+SUM($D29:AC29)</f>
        <v>2716</v>
      </c>
      <c r="AD94" s="64"/>
      <c r="AE94" s="64"/>
    </row>
    <row r="95" spans="2:40" hidden="1" outlineLevel="1" x14ac:dyDescent="0.2">
      <c r="B95" t="s">
        <v>3</v>
      </c>
      <c r="K95" s="64">
        <f>+SUM($D30:K30)</f>
        <v>905.33333333333337</v>
      </c>
      <c r="L95" s="64">
        <f>+SUM($D30:L30)</f>
        <v>1810.6666666666667</v>
      </c>
      <c r="M95" s="64">
        <f>+SUM($D30:M30)</f>
        <v>2716</v>
      </c>
      <c r="N95" s="64">
        <f>+SUM($D30:N30)</f>
        <v>3621.3333333333335</v>
      </c>
      <c r="O95" s="64">
        <f>+SUM($D30:O30)</f>
        <v>4397.3333333333339</v>
      </c>
      <c r="P95" s="64">
        <f>+SUM($D30:P30)</f>
        <v>5121.6000000000004</v>
      </c>
      <c r="Q95" s="64">
        <f>+SUM($D30:Q30)</f>
        <v>5432</v>
      </c>
      <c r="R95" s="64">
        <f>+SUM($D30:R30)</f>
        <v>5432</v>
      </c>
      <c r="S95" s="64">
        <f>+SUM($D30:S30)</f>
        <v>5432</v>
      </c>
      <c r="T95" s="64">
        <f>+SUM($D30:T30)</f>
        <v>5432</v>
      </c>
      <c r="U95" s="64">
        <f>+SUM($D30:U30)</f>
        <v>5432</v>
      </c>
      <c r="V95" s="64">
        <f>+SUM($D30:V30)</f>
        <v>5432</v>
      </c>
      <c r="W95" s="64">
        <f>+SUM($D30:W30)</f>
        <v>5432</v>
      </c>
      <c r="X95" s="64">
        <f>+SUM($D30:X30)</f>
        <v>5432</v>
      </c>
      <c r="Y95" s="64">
        <f>+SUM($D30:Y30)</f>
        <v>5432</v>
      </c>
      <c r="Z95" s="64">
        <f>+SUM($D30:Z30)</f>
        <v>5432</v>
      </c>
      <c r="AA95" s="64">
        <f>+SUM($D30:AA30)</f>
        <v>5432</v>
      </c>
      <c r="AB95" s="64">
        <f>+SUM($D30:AB30)</f>
        <v>5432</v>
      </c>
      <c r="AC95" s="64">
        <f>+SUM($D30:AC30)</f>
        <v>5432</v>
      </c>
      <c r="AD95" s="64"/>
      <c r="AE95" s="64"/>
      <c r="AF95" s="64"/>
    </row>
    <row r="96" spans="2:40" hidden="1" outlineLevel="1" x14ac:dyDescent="0.2">
      <c r="B96" t="s">
        <v>4</v>
      </c>
      <c r="L96" s="64">
        <f>+SUM($D31:L31)</f>
        <v>1500</v>
      </c>
      <c r="M96" s="64">
        <f>+SUM($D31:M31)</f>
        <v>3000</v>
      </c>
      <c r="N96" s="64">
        <f>+SUM($D31:N31)</f>
        <v>4500</v>
      </c>
      <c r="O96" s="64">
        <f>+SUM($D31:O31)</f>
        <v>5785.7142857142862</v>
      </c>
      <c r="P96" s="64">
        <f>+SUM($D31:P31)</f>
        <v>6985.7142857142862</v>
      </c>
      <c r="Q96" s="64">
        <f>+SUM($D31:Q31)</f>
        <v>8110.7142857142862</v>
      </c>
      <c r="R96" s="64">
        <f>+SUM($D31:R31)</f>
        <v>9000</v>
      </c>
      <c r="S96" s="64">
        <f>+SUM($D31:S31)</f>
        <v>9000</v>
      </c>
      <c r="T96" s="64">
        <f>+SUM($D31:T31)</f>
        <v>9000</v>
      </c>
      <c r="U96" s="64">
        <f>+SUM($D31:U31)</f>
        <v>9000</v>
      </c>
      <c r="V96" s="64">
        <f>+SUM($D31:V31)</f>
        <v>9000</v>
      </c>
      <c r="W96" s="64">
        <f>+SUM($D31:W31)</f>
        <v>9000</v>
      </c>
      <c r="X96" s="64">
        <f>+SUM($D31:X31)</f>
        <v>9000</v>
      </c>
      <c r="Y96" s="64">
        <f>+SUM($D31:Y31)</f>
        <v>9000</v>
      </c>
      <c r="Z96" s="64">
        <f>+SUM($D31:Z31)</f>
        <v>9000</v>
      </c>
      <c r="AA96" s="64">
        <f>+SUM($D31:AA31)</f>
        <v>9000</v>
      </c>
      <c r="AB96" s="64">
        <f>+SUM($D31:AB31)</f>
        <v>9000</v>
      </c>
      <c r="AC96" s="64">
        <f>+SUM($D31:AC31)</f>
        <v>9000</v>
      </c>
      <c r="AD96" s="64"/>
      <c r="AE96" s="64"/>
      <c r="AF96" s="64"/>
      <c r="AG96" s="64"/>
    </row>
    <row r="97" spans="2:40" hidden="1" outlineLevel="1" x14ac:dyDescent="0.2">
      <c r="B97" t="s">
        <v>5</v>
      </c>
      <c r="M97" s="64">
        <f>+SUM($D32:M32)</f>
        <v>1923.6666666666667</v>
      </c>
      <c r="N97" s="64">
        <f>+SUM($D32:N32)</f>
        <v>3847.3333333333335</v>
      </c>
      <c r="O97" s="64">
        <f>+SUM($D32:O32)</f>
        <v>5496.1904761904761</v>
      </c>
      <c r="P97" s="64">
        <f>+SUM($D32:P32)</f>
        <v>7035.1238095238095</v>
      </c>
      <c r="Q97" s="64">
        <f>+SUM($D32:Q32)</f>
        <v>8477.8738095238095</v>
      </c>
      <c r="R97" s="64">
        <f>+SUM($D32:R32)</f>
        <v>9920.6238095238095</v>
      </c>
      <c r="S97" s="64">
        <f>+SUM($D32:S32)</f>
        <v>11363.37380952381</v>
      </c>
      <c r="T97" s="64">
        <f>+SUM($D32:T32)</f>
        <v>11542</v>
      </c>
      <c r="U97" s="64">
        <f>+SUM($D32:U32)</f>
        <v>11542</v>
      </c>
      <c r="V97" s="64">
        <f>+SUM($D32:V32)</f>
        <v>11542</v>
      </c>
      <c r="W97" s="64">
        <f>+SUM($D32:W32)</f>
        <v>11542</v>
      </c>
      <c r="X97" s="64">
        <f>+SUM($D32:X32)</f>
        <v>11542</v>
      </c>
      <c r="Y97" s="64">
        <f>+SUM($D32:Y32)</f>
        <v>11542</v>
      </c>
      <c r="Z97" s="64">
        <f>+SUM($D32:Z32)</f>
        <v>11542</v>
      </c>
      <c r="AA97" s="64">
        <f>+SUM($D32:AA32)</f>
        <v>11542</v>
      </c>
      <c r="AB97" s="64">
        <f>+SUM($D32:AB32)</f>
        <v>11542</v>
      </c>
      <c r="AC97" s="64">
        <f>+SUM($D32:AC32)</f>
        <v>11542</v>
      </c>
      <c r="AD97" s="64"/>
      <c r="AE97" s="64"/>
      <c r="AF97" s="64"/>
      <c r="AG97" s="64"/>
      <c r="AH97" s="64"/>
    </row>
    <row r="98" spans="2:40" hidden="1" outlineLevel="1" x14ac:dyDescent="0.2">
      <c r="B98" t="s">
        <v>6</v>
      </c>
      <c r="N98" s="64">
        <f>+SUM($D33:N33)</f>
        <v>2312.6666666666665</v>
      </c>
      <c r="O98" s="64">
        <f>+SUM($D33:O33)</f>
        <v>4294.9523809523807</v>
      </c>
      <c r="P98" s="64">
        <f>+SUM($D33:P33)</f>
        <v>6145.0857142857139</v>
      </c>
      <c r="Q98" s="64">
        <f>+SUM($D33:Q33)</f>
        <v>7879.5857142857139</v>
      </c>
      <c r="R98" s="64">
        <f>+SUM($D33:R33)</f>
        <v>9614.085714285713</v>
      </c>
      <c r="S98" s="64">
        <f>+SUM($D33:S33)</f>
        <v>11348.585714285713</v>
      </c>
      <c r="T98" s="64">
        <f>+SUM($D33:T33)</f>
        <v>13083.085714285713</v>
      </c>
      <c r="U98" s="64">
        <f>+SUM($D33:U33)</f>
        <v>13876</v>
      </c>
      <c r="V98" s="64">
        <f>+SUM($D33:V33)</f>
        <v>13876</v>
      </c>
      <c r="W98" s="64">
        <f>+SUM($D33:W33)</f>
        <v>13876</v>
      </c>
      <c r="X98" s="64">
        <f>+SUM($D33:X33)</f>
        <v>13876</v>
      </c>
      <c r="Y98" s="64">
        <f>+SUM($D33:Y33)</f>
        <v>13876</v>
      </c>
      <c r="Z98" s="64">
        <f>+SUM($D33:Z33)</f>
        <v>13876</v>
      </c>
      <c r="AA98" s="64">
        <f>+SUM($D33:AA33)</f>
        <v>13876</v>
      </c>
      <c r="AB98" s="64">
        <f>+SUM($D33:AB33)</f>
        <v>13876</v>
      </c>
      <c r="AC98" s="64">
        <f>+SUM($D33:AC33)</f>
        <v>13876</v>
      </c>
      <c r="AD98" s="64"/>
      <c r="AE98" s="64"/>
      <c r="AF98" s="64"/>
      <c r="AG98" s="64"/>
      <c r="AH98" s="64"/>
      <c r="AI98" s="64"/>
    </row>
    <row r="99" spans="2:40" hidden="1" outlineLevel="1" x14ac:dyDescent="0.2">
      <c r="B99" t="s">
        <v>321</v>
      </c>
      <c r="O99" s="64">
        <f>+SUM($D34:O34)</f>
        <v>1919.8571428571429</v>
      </c>
      <c r="P99" s="64">
        <f>+SUM($D34:P34)</f>
        <v>3711.7238095238095</v>
      </c>
      <c r="Q99" s="64">
        <f>+SUM($D34:Q34)</f>
        <v>5391.5988095238099</v>
      </c>
      <c r="R99" s="64">
        <f>+SUM($D34:R34)</f>
        <v>7071.4738095238099</v>
      </c>
      <c r="S99" s="64">
        <f>+SUM($D34:S34)</f>
        <v>8751.3488095238099</v>
      </c>
      <c r="T99" s="64">
        <f>+SUM($D34:T34)</f>
        <v>10431.22380952381</v>
      </c>
      <c r="U99" s="64">
        <f>+SUM($D34:U34)</f>
        <v>12111.09880952381</v>
      </c>
      <c r="V99" s="64">
        <f>+SUM($D34:V34)</f>
        <v>13439</v>
      </c>
      <c r="W99" s="64">
        <f>+SUM($D34:W34)</f>
        <v>13439</v>
      </c>
      <c r="X99" s="64">
        <f>+SUM($D34:X34)</f>
        <v>13439</v>
      </c>
      <c r="Y99" s="64">
        <f>+SUM($D34:Y34)</f>
        <v>13439</v>
      </c>
      <c r="Z99" s="64">
        <f>+SUM($D34:Z34)</f>
        <v>13439</v>
      </c>
      <c r="AA99" s="64">
        <f>+SUM($D34:AA34)</f>
        <v>13439</v>
      </c>
      <c r="AB99" s="64">
        <f>+SUM($D34:AB34)</f>
        <v>13439</v>
      </c>
      <c r="AC99" s="64">
        <f>+SUM($D34:AC34)</f>
        <v>13439</v>
      </c>
      <c r="AD99" s="64"/>
      <c r="AE99" s="64"/>
      <c r="AF99" s="64"/>
      <c r="AG99" s="64"/>
      <c r="AH99" s="64"/>
      <c r="AI99" s="64"/>
      <c r="AJ99" s="64"/>
    </row>
    <row r="100" spans="2:40" hidden="1" outlineLevel="1" x14ac:dyDescent="0.2">
      <c r="B100" t="s">
        <v>306</v>
      </c>
      <c r="P100" s="64">
        <f>+SUM($D35:P35)</f>
        <v>2165.1999999999998</v>
      </c>
      <c r="Q100" s="64">
        <f>+SUM($D35:Q35)</f>
        <v>4195.0749999999998</v>
      </c>
      <c r="R100" s="64">
        <f>+SUM($D35:R35)</f>
        <v>6224.95</v>
      </c>
      <c r="S100" s="64">
        <f>+SUM($D35:S35)</f>
        <v>8254.8250000000007</v>
      </c>
      <c r="T100" s="64">
        <f>+SUM($D35:T35)</f>
        <v>10284.700000000001</v>
      </c>
      <c r="U100" s="64">
        <f>+SUM($D35:U35)</f>
        <v>12314.575000000001</v>
      </c>
      <c r="V100" s="64">
        <f>+SUM($D35:V35)</f>
        <v>14344.45</v>
      </c>
      <c r="W100" s="64">
        <f>+SUM($D35:W35)</f>
        <v>16239</v>
      </c>
      <c r="X100" s="64">
        <f>+SUM($D35:X35)</f>
        <v>16239</v>
      </c>
      <c r="Y100" s="64">
        <f>+SUM($D35:Y35)</f>
        <v>16239</v>
      </c>
      <c r="Z100" s="64">
        <f>+SUM($D35:Z35)</f>
        <v>16239</v>
      </c>
      <c r="AA100" s="64">
        <f>+SUM($D35:AA35)</f>
        <v>16239</v>
      </c>
      <c r="AB100" s="64">
        <f>+SUM($D35:AB35)</f>
        <v>16239</v>
      </c>
      <c r="AC100" s="64">
        <f>+SUM($D35:AC35)</f>
        <v>16239</v>
      </c>
      <c r="AD100" s="64"/>
      <c r="AE100" s="64"/>
      <c r="AF100" s="64"/>
      <c r="AG100" s="64"/>
      <c r="AH100" s="64"/>
      <c r="AI100" s="64"/>
      <c r="AJ100" s="64"/>
      <c r="AK100" s="64"/>
    </row>
    <row r="101" spans="2:40" hidden="1" outlineLevel="1" x14ac:dyDescent="0.2">
      <c r="B101" t="s">
        <v>357</v>
      </c>
      <c r="Q101" s="64">
        <f>+SUM($D36:Q36)</f>
        <v>3251.375</v>
      </c>
      <c r="R101" s="64">
        <f>+SUM($D36:R36)</f>
        <v>6502.75</v>
      </c>
      <c r="S101" s="64">
        <f>+SUM($D36:S36)</f>
        <v>9754.125</v>
      </c>
      <c r="T101" s="64">
        <f>+SUM($D36:T36)</f>
        <v>13005.5</v>
      </c>
      <c r="U101" s="64">
        <f>+SUM($D36:U36)</f>
        <v>16256.875</v>
      </c>
      <c r="V101" s="64">
        <f>+SUM($D36:V36)</f>
        <v>19508.25</v>
      </c>
      <c r="W101" s="64">
        <f>+SUM($D36:W36)</f>
        <v>22759.625</v>
      </c>
      <c r="X101" s="64">
        <f>+SUM($D36:X36)</f>
        <v>26011</v>
      </c>
      <c r="Y101" s="64">
        <f>+SUM($D36:Y36)</f>
        <v>26011</v>
      </c>
      <c r="Z101" s="64">
        <f>+SUM($D36:Z36)</f>
        <v>26011</v>
      </c>
      <c r="AA101" s="64">
        <f>+SUM($D36:AA36)</f>
        <v>26011</v>
      </c>
      <c r="AB101" s="64">
        <f>+SUM($D36:AB36)</f>
        <v>26011</v>
      </c>
      <c r="AC101" s="64">
        <f>+SUM($D36:AC36)</f>
        <v>26011</v>
      </c>
      <c r="AD101" s="64"/>
      <c r="AE101" s="64"/>
      <c r="AF101" s="64"/>
      <c r="AG101" s="64"/>
      <c r="AH101" s="64"/>
      <c r="AI101" s="64"/>
      <c r="AJ101" s="64"/>
      <c r="AK101" s="64"/>
      <c r="AL101" s="64"/>
    </row>
    <row r="102" spans="2:40" hidden="1" outlineLevel="1" x14ac:dyDescent="0.2">
      <c r="B102" t="s">
        <v>7</v>
      </c>
      <c r="R102" s="64">
        <f>+SUM($D37:R37)</f>
        <v>4272.1290894047615</v>
      </c>
      <c r="S102" s="64">
        <f>+SUM($D37:S37)</f>
        <v>8544.2581788095231</v>
      </c>
      <c r="T102" s="64">
        <f>+SUM($D37:T37)</f>
        <v>12816.387268214285</v>
      </c>
      <c r="U102" s="64">
        <f>+SUM($D37:U37)</f>
        <v>17088.516357619046</v>
      </c>
      <c r="V102" s="64">
        <f>+SUM($D37:V37)</f>
        <v>21360.64544702381</v>
      </c>
      <c r="W102" s="64">
        <f>+SUM($D37:W37)</f>
        <v>25632.774536428573</v>
      </c>
      <c r="X102" s="64">
        <f>+SUM($D37:X37)</f>
        <v>29904.903625833336</v>
      </c>
      <c r="Y102" s="64">
        <f>+SUM($D37:Y37)</f>
        <v>34177.032715238092</v>
      </c>
      <c r="Z102" s="64">
        <f>+SUM($D37:Z37)</f>
        <v>34177.032715238092</v>
      </c>
      <c r="AA102" s="64">
        <f>+SUM($D37:AA37)</f>
        <v>34177.032715238092</v>
      </c>
      <c r="AB102" s="64">
        <f>+SUM($D37:AB37)</f>
        <v>34177.032715238092</v>
      </c>
      <c r="AC102" s="64">
        <f>+SUM($D37:AC37)</f>
        <v>34177.032715238092</v>
      </c>
      <c r="AD102" s="64"/>
      <c r="AE102" s="64"/>
      <c r="AF102" s="64"/>
      <c r="AG102" s="64"/>
      <c r="AH102" s="64"/>
      <c r="AI102" s="64"/>
      <c r="AJ102" s="64"/>
      <c r="AK102" s="64"/>
      <c r="AL102" s="64"/>
      <c r="AM102" s="64"/>
    </row>
    <row r="103" spans="2:40" hidden="1" outlineLevel="1" x14ac:dyDescent="0.2">
      <c r="B103" t="s">
        <v>8</v>
      </c>
      <c r="S103" s="64">
        <f>+SUM($D38:S38)</f>
        <v>4748.3162319315616</v>
      </c>
      <c r="T103" s="64">
        <f>+SUM($D38:T38)</f>
        <v>9496.6324638631231</v>
      </c>
      <c r="U103" s="64">
        <f>+SUM($D38:U38)</f>
        <v>14244.948695794685</v>
      </c>
      <c r="V103" s="64">
        <f>+SUM($D38:V38)</f>
        <v>18993.264927726246</v>
      </c>
      <c r="W103" s="64">
        <f>+SUM($D38:W38)</f>
        <v>23741.581159657806</v>
      </c>
      <c r="X103" s="64">
        <f>+SUM($D38:X38)</f>
        <v>28489.897391589366</v>
      </c>
      <c r="Y103" s="64">
        <f>+SUM($D38:Y38)</f>
        <v>33238.213623520925</v>
      </c>
      <c r="Z103" s="64">
        <f>+SUM($D38:Z38)</f>
        <v>37986.529855452485</v>
      </c>
      <c r="AA103" s="64">
        <f>+SUM($D38:AA38)</f>
        <v>37986.529855452485</v>
      </c>
      <c r="AB103" s="64">
        <f>+SUM($D38:AB38)</f>
        <v>37986.529855452485</v>
      </c>
      <c r="AC103" s="64">
        <f>+SUM($D38:AC38)</f>
        <v>37986.529855452485</v>
      </c>
      <c r="AD103" s="64"/>
      <c r="AE103" s="64"/>
      <c r="AF103" s="64"/>
      <c r="AG103" s="64"/>
      <c r="AH103" s="64"/>
      <c r="AI103" s="64"/>
      <c r="AJ103" s="64"/>
      <c r="AK103" s="64"/>
      <c r="AL103" s="64"/>
      <c r="AM103" s="64"/>
      <c r="AN103" s="64"/>
    </row>
    <row r="104" spans="2:40" hidden="1" outlineLevel="1" x14ac:dyDescent="0.2">
      <c r="B104" t="s">
        <v>9</v>
      </c>
      <c r="S104" s="64"/>
      <c r="T104" s="64">
        <f>+SUM($D39:T39)</f>
        <v>4689.2070582236711</v>
      </c>
      <c r="U104" s="64">
        <f>+SUM($D39:U39)</f>
        <v>9378.4141164473422</v>
      </c>
      <c r="V104" s="64">
        <f>+SUM($D39:V39)</f>
        <v>14067.621174671014</v>
      </c>
      <c r="W104" s="64">
        <f>+SUM($D39:W39)</f>
        <v>18756.828232894684</v>
      </c>
      <c r="X104" s="64">
        <f>+SUM($D39:X39)</f>
        <v>23446.035291118355</v>
      </c>
      <c r="Y104" s="64">
        <f>+SUM($D39:Y39)</f>
        <v>28135.242349342025</v>
      </c>
      <c r="Z104" s="64">
        <f>+SUM($D39:Z39)</f>
        <v>32824.449407565698</v>
      </c>
      <c r="AA104" s="64">
        <f>+SUM($D39:AA39)</f>
        <v>37513.656465789369</v>
      </c>
      <c r="AB104" s="64">
        <f>+SUM($D39:AB39)</f>
        <v>37513.656465789369</v>
      </c>
      <c r="AC104" s="64">
        <f>+SUM($D39:AC39)</f>
        <v>37513.656465789369</v>
      </c>
      <c r="AD104" s="64"/>
      <c r="AE104" s="64"/>
      <c r="AF104" s="64"/>
      <c r="AG104" s="64"/>
      <c r="AH104" s="64"/>
      <c r="AI104" s="64"/>
      <c r="AJ104" s="64"/>
      <c r="AK104" s="64"/>
      <c r="AL104" s="64"/>
      <c r="AM104" s="64"/>
      <c r="AN104" s="64"/>
    </row>
    <row r="105" spans="2:40" hidden="1" outlineLevel="1" x14ac:dyDescent="0.2">
      <c r="B105" t="s">
        <v>10</v>
      </c>
      <c r="S105" s="64"/>
      <c r="T105" s="64"/>
      <c r="U105" s="64">
        <f>+SUM($D40:U40)</f>
        <v>5018.7347492429262</v>
      </c>
      <c r="V105" s="64">
        <f>+SUM($D40:V40)</f>
        <v>10037.469498485852</v>
      </c>
      <c r="W105" s="64">
        <f>+SUM($D40:W40)</f>
        <v>15056.20424772878</v>
      </c>
      <c r="X105" s="64">
        <f>+SUM($D40:X40)</f>
        <v>20074.938996971705</v>
      </c>
      <c r="Y105" s="64">
        <f>+SUM($D40:Y40)</f>
        <v>25093.67374621463</v>
      </c>
      <c r="Z105" s="64">
        <f>+SUM($D40:Z40)</f>
        <v>30112.408495457556</v>
      </c>
      <c r="AA105" s="64">
        <f>+SUM($D40:AA40)</f>
        <v>35131.143244700485</v>
      </c>
      <c r="AB105" s="64">
        <f>+SUM($D40:AB40)</f>
        <v>40149.87799394341</v>
      </c>
      <c r="AC105" s="64">
        <f>+SUM($D40:AC40)</f>
        <v>40149.87799394341</v>
      </c>
      <c r="AD105" s="64"/>
      <c r="AE105" s="64"/>
      <c r="AF105" s="64"/>
      <c r="AG105" s="64"/>
      <c r="AH105" s="64"/>
      <c r="AI105" s="64"/>
      <c r="AJ105" s="64"/>
      <c r="AK105" s="64"/>
      <c r="AL105" s="64"/>
      <c r="AM105" s="64"/>
      <c r="AN105" s="64"/>
    </row>
    <row r="106" spans="2:40" hidden="1" outlineLevel="1" x14ac:dyDescent="0.2">
      <c r="B106" t="s">
        <v>11</v>
      </c>
      <c r="S106" s="64"/>
      <c r="T106" s="64"/>
      <c r="U106" s="64"/>
      <c r="V106" s="64">
        <f>+SUM($D41:V41)</f>
        <v>5330.6639918183819</v>
      </c>
      <c r="W106" s="64">
        <f>+SUM($D41:W41)</f>
        <v>10661.327983636764</v>
      </c>
      <c r="X106" s="64">
        <f>+SUM($D41:X41)</f>
        <v>15991.991975455145</v>
      </c>
      <c r="Y106" s="64">
        <f>+SUM($D41:Y41)</f>
        <v>21322.655967273527</v>
      </c>
      <c r="Z106" s="64">
        <f>+SUM($D41:Z41)</f>
        <v>26653.31995909191</v>
      </c>
      <c r="AA106" s="64">
        <f>+SUM($D41:AA41)</f>
        <v>31983.983950910293</v>
      </c>
      <c r="AB106" s="64">
        <f>+SUM($D41:AB41)</f>
        <v>37314.647942728676</v>
      </c>
      <c r="AC106" s="64">
        <f>+SUM($D41:AC41)</f>
        <v>42645.311934547055</v>
      </c>
      <c r="AD106" s="64"/>
      <c r="AE106" s="64"/>
      <c r="AF106" s="64"/>
      <c r="AG106" s="64"/>
      <c r="AH106" s="64"/>
      <c r="AI106" s="64"/>
      <c r="AJ106" s="64"/>
      <c r="AK106" s="64"/>
      <c r="AL106" s="64"/>
      <c r="AM106" s="64"/>
      <c r="AN106" s="64"/>
    </row>
    <row r="107" spans="2:40" hidden="1" outlineLevel="1" x14ac:dyDescent="0.2">
      <c r="B107" t="s">
        <v>12</v>
      </c>
      <c r="S107" s="64"/>
      <c r="T107" s="64"/>
      <c r="U107" s="64"/>
      <c r="V107" s="64"/>
      <c r="W107" s="64">
        <f>+SUM($D42:W42)</f>
        <v>5889.9310572634977</v>
      </c>
      <c r="X107" s="64">
        <f>+SUM($D42:X42)</f>
        <v>11779.862114526995</v>
      </c>
      <c r="Y107" s="64">
        <f>+SUM($D42:Y42)</f>
        <v>17669.793171790494</v>
      </c>
      <c r="Z107" s="64">
        <f>+SUM($D42:Z42)</f>
        <v>23559.724229053991</v>
      </c>
      <c r="AA107" s="64">
        <f>+SUM($D42:AA42)</f>
        <v>29449.655286317487</v>
      </c>
      <c r="AB107" s="64">
        <f>+SUM($D42:AB42)</f>
        <v>35339.586343580988</v>
      </c>
      <c r="AC107" s="64">
        <f>+SUM($D42:AC42)</f>
        <v>41229.517400844488</v>
      </c>
      <c r="AD107" s="64"/>
      <c r="AE107" s="64"/>
      <c r="AF107" s="64"/>
      <c r="AG107" s="64"/>
      <c r="AH107" s="64"/>
      <c r="AI107" s="64"/>
      <c r="AJ107" s="64"/>
      <c r="AK107" s="64"/>
      <c r="AL107" s="64"/>
      <c r="AM107" s="64"/>
      <c r="AN107" s="64"/>
    </row>
    <row r="108" spans="2:40" hidden="1" outlineLevel="1" x14ac:dyDescent="0.2">
      <c r="B108" t="s">
        <v>13</v>
      </c>
      <c r="S108" s="64"/>
      <c r="T108" s="64"/>
      <c r="U108" s="64"/>
      <c r="V108" s="64"/>
      <c r="W108" s="64"/>
      <c r="X108" s="64">
        <f>+SUM($D43:X43)</f>
        <v>6479.5813537283448</v>
      </c>
      <c r="Y108" s="64">
        <f>+SUM($D43:Y43)</f>
        <v>12959.16270745669</v>
      </c>
      <c r="Z108" s="64">
        <f>+SUM($D43:Z43)</f>
        <v>19438.744061185032</v>
      </c>
      <c r="AA108" s="64">
        <f>+SUM($D43:AA43)</f>
        <v>25918.325414913379</v>
      </c>
      <c r="AB108" s="64">
        <f>+SUM($D43:AB43)</f>
        <v>32397.906768641726</v>
      </c>
      <c r="AC108" s="64">
        <f>+SUM($D43:AC43)</f>
        <v>38877.488122370072</v>
      </c>
      <c r="AD108" s="64"/>
      <c r="AE108" s="64"/>
      <c r="AF108" s="64"/>
      <c r="AG108" s="64"/>
      <c r="AH108" s="64"/>
      <c r="AI108" s="64"/>
      <c r="AJ108" s="64"/>
      <c r="AK108" s="64"/>
      <c r="AL108" s="64"/>
      <c r="AM108" s="64"/>
      <c r="AN108" s="64"/>
    </row>
    <row r="109" spans="2:40" hidden="1" outlineLevel="1" x14ac:dyDescent="0.2">
      <c r="B109" t="s">
        <v>14</v>
      </c>
      <c r="S109" s="64"/>
      <c r="T109" s="64"/>
      <c r="U109" s="64"/>
      <c r="V109" s="64"/>
      <c r="W109" s="64"/>
      <c r="X109" s="64"/>
      <c r="Y109" s="64">
        <f>+SUM($D44:Y44)</f>
        <v>7101.0283089156637</v>
      </c>
      <c r="Z109" s="64">
        <f>+SUM($D44:Z44)</f>
        <v>14202.056617831327</v>
      </c>
      <c r="AA109" s="64">
        <f>+SUM($D44:AA44)</f>
        <v>21303.084926746989</v>
      </c>
      <c r="AB109" s="64">
        <f>+SUM($D44:AB44)</f>
        <v>28404.113235662655</v>
      </c>
      <c r="AC109" s="64">
        <f>+SUM($D44:AC44)</f>
        <v>35505.14154457832</v>
      </c>
      <c r="AD109" s="64"/>
      <c r="AE109" s="64"/>
      <c r="AF109" s="64"/>
      <c r="AG109" s="64"/>
      <c r="AH109" s="64"/>
      <c r="AI109" s="64"/>
      <c r="AJ109" s="64"/>
      <c r="AK109" s="64"/>
      <c r="AL109" s="64"/>
      <c r="AM109" s="64"/>
      <c r="AN109" s="64"/>
    </row>
    <row r="110" spans="2:40" hidden="1" outlineLevel="1" x14ac:dyDescent="0.2">
      <c r="B110" t="s">
        <v>15</v>
      </c>
      <c r="S110" s="64"/>
      <c r="T110" s="64"/>
      <c r="U110" s="64"/>
      <c r="V110" s="64"/>
      <c r="W110" s="64"/>
      <c r="X110" s="64"/>
      <c r="Y110" s="64"/>
      <c r="Z110" s="64">
        <f>+SUM($D45:Z45)</f>
        <v>7755.8457615783145</v>
      </c>
      <c r="AA110" s="64">
        <f>+SUM($D45:AA45)</f>
        <v>15511.691523156629</v>
      </c>
      <c r="AB110" s="64">
        <f>+SUM($D45:AB45)</f>
        <v>23267.537284734943</v>
      </c>
      <c r="AC110" s="64">
        <f>+SUM($D45:AC45)</f>
        <v>31023.383046313258</v>
      </c>
      <c r="AD110" s="64"/>
      <c r="AE110" s="64"/>
      <c r="AF110" s="64"/>
      <c r="AG110" s="64"/>
      <c r="AH110" s="64"/>
      <c r="AI110" s="64"/>
      <c r="AJ110" s="64"/>
      <c r="AK110" s="64"/>
      <c r="AL110" s="64"/>
      <c r="AM110" s="64"/>
      <c r="AN110" s="64"/>
    </row>
    <row r="111" spans="2:40" hidden="1" outlineLevel="1" x14ac:dyDescent="0.2">
      <c r="B111" t="s">
        <v>325</v>
      </c>
      <c r="S111" s="64"/>
      <c r="T111" s="64"/>
      <c r="U111" s="64"/>
      <c r="V111" s="64"/>
      <c r="W111" s="64"/>
      <c r="X111" s="64"/>
      <c r="Y111" s="64"/>
      <c r="Z111" s="64"/>
      <c r="AA111" s="64">
        <f>+SUM($D46:AA46)</f>
        <v>8445.767511223281</v>
      </c>
      <c r="AB111" s="64">
        <f>+SUM($D46:AB46)</f>
        <v>16891.535022446562</v>
      </c>
      <c r="AC111" s="64">
        <f>+SUM($D46:AC46)</f>
        <v>25337.302533669841</v>
      </c>
      <c r="AD111" s="64"/>
      <c r="AE111" s="64"/>
      <c r="AF111" s="64"/>
      <c r="AG111" s="64"/>
      <c r="AH111" s="64"/>
      <c r="AI111" s="64"/>
      <c r="AJ111" s="64"/>
      <c r="AK111" s="64"/>
      <c r="AL111" s="64"/>
      <c r="AM111" s="64"/>
      <c r="AN111" s="64"/>
    </row>
    <row r="112" spans="2:40" hidden="1" outlineLevel="1" x14ac:dyDescent="0.2">
      <c r="B112" t="s">
        <v>346</v>
      </c>
      <c r="S112" s="64"/>
      <c r="T112" s="64"/>
      <c r="U112" s="64"/>
      <c r="V112" s="64"/>
      <c r="W112" s="64"/>
      <c r="X112" s="64"/>
      <c r="Y112" s="64"/>
      <c r="Z112" s="64"/>
      <c r="AA112" s="64"/>
      <c r="AB112" s="64">
        <f>+SUM($D47:AB47)</f>
        <v>9172.6880772277455</v>
      </c>
      <c r="AC112" s="64">
        <f>+SUM($D47:AC47)</f>
        <v>18345.376154455491</v>
      </c>
      <c r="AD112" s="64"/>
      <c r="AE112" s="64"/>
      <c r="AF112" s="64"/>
      <c r="AG112" s="64"/>
      <c r="AH112" s="64"/>
      <c r="AI112" s="64"/>
      <c r="AJ112" s="64"/>
      <c r="AK112" s="64"/>
      <c r="AL112" s="64"/>
      <c r="AM112" s="64"/>
      <c r="AN112" s="64"/>
    </row>
    <row r="113" spans="2:40" hidden="1" outlineLevel="1" x14ac:dyDescent="0.2">
      <c r="B113" t="s">
        <v>426</v>
      </c>
      <c r="S113" s="64"/>
      <c r="T113" s="64"/>
      <c r="U113" s="64"/>
      <c r="V113" s="64"/>
      <c r="W113" s="64"/>
      <c r="X113" s="64"/>
      <c r="Y113" s="64"/>
      <c r="Z113" s="64"/>
      <c r="AA113" s="64"/>
      <c r="AB113" s="64"/>
      <c r="AC113" s="64">
        <f>+SUM($D48:AC48)</f>
        <v>9938.6645917663009</v>
      </c>
      <c r="AD113" s="64"/>
      <c r="AE113" s="64"/>
      <c r="AF113" s="64"/>
      <c r="AG113" s="64"/>
      <c r="AH113" s="64"/>
      <c r="AI113" s="64"/>
      <c r="AJ113" s="64"/>
      <c r="AK113" s="64"/>
      <c r="AL113" s="64"/>
      <c r="AM113" s="64"/>
      <c r="AN113" s="64"/>
    </row>
    <row r="114" spans="2:40" hidden="1" outlineLevel="1" x14ac:dyDescent="0.2"/>
    <row r="115" spans="2:40" hidden="1" outlineLevel="1" x14ac:dyDescent="0.2">
      <c r="B115" s="54" t="s">
        <v>389</v>
      </c>
    </row>
    <row r="116" spans="2:40" hidden="1" outlineLevel="1" x14ac:dyDescent="0.2">
      <c r="B116" t="s">
        <v>371</v>
      </c>
      <c r="E116" s="64">
        <f t="shared" ref="E116:AB116" si="47">+E62-E89</f>
        <v>810</v>
      </c>
      <c r="F116" s="64">
        <f t="shared" si="47"/>
        <v>648</v>
      </c>
      <c r="G116" s="64">
        <f t="shared" si="47"/>
        <v>486</v>
      </c>
      <c r="H116" s="64">
        <f t="shared" si="47"/>
        <v>324</v>
      </c>
      <c r="I116" s="64">
        <f t="shared" si="47"/>
        <v>162</v>
      </c>
      <c r="J116" s="64">
        <f t="shared" si="47"/>
        <v>0</v>
      </c>
      <c r="K116" s="64">
        <f t="shared" si="47"/>
        <v>0</v>
      </c>
      <c r="L116" s="64">
        <f t="shared" si="47"/>
        <v>0</v>
      </c>
      <c r="M116" s="64">
        <f t="shared" si="47"/>
        <v>0</v>
      </c>
      <c r="N116" s="64">
        <f t="shared" si="47"/>
        <v>0</v>
      </c>
      <c r="O116" s="64">
        <f t="shared" si="47"/>
        <v>0</v>
      </c>
      <c r="P116" s="64">
        <f t="shared" si="47"/>
        <v>0</v>
      </c>
      <c r="Q116" s="64">
        <f t="shared" si="47"/>
        <v>0</v>
      </c>
      <c r="R116" s="64">
        <f t="shared" si="47"/>
        <v>0</v>
      </c>
      <c r="S116" s="64">
        <f t="shared" si="47"/>
        <v>0</v>
      </c>
      <c r="T116" s="64">
        <f t="shared" si="47"/>
        <v>0</v>
      </c>
      <c r="U116" s="64">
        <f t="shared" si="47"/>
        <v>0</v>
      </c>
      <c r="V116" s="64">
        <f t="shared" si="47"/>
        <v>0</v>
      </c>
      <c r="W116" s="64">
        <f t="shared" si="47"/>
        <v>0</v>
      </c>
      <c r="X116" s="64">
        <f t="shared" si="47"/>
        <v>0</v>
      </c>
      <c r="Y116" s="64">
        <f t="shared" si="47"/>
        <v>0</v>
      </c>
      <c r="Z116" s="64">
        <f t="shared" si="47"/>
        <v>0</v>
      </c>
      <c r="AA116" s="64">
        <f t="shared" si="47"/>
        <v>0</v>
      </c>
      <c r="AB116" s="64">
        <f t="shared" si="47"/>
        <v>0</v>
      </c>
      <c r="AC116" s="64">
        <f t="shared" ref="AC116:AC134" si="48">+AC62-AC89</f>
        <v>0</v>
      </c>
    </row>
    <row r="117" spans="2:40" hidden="1" outlineLevel="1" x14ac:dyDescent="0.2">
      <c r="B117" t="s">
        <v>106</v>
      </c>
      <c r="F117" s="64">
        <f t="shared" ref="F117:AB117" si="49">+F63-F90</f>
        <v>1025.8333333333333</v>
      </c>
      <c r="G117" s="64">
        <f t="shared" si="49"/>
        <v>820.66666666666674</v>
      </c>
      <c r="H117" s="64">
        <f t="shared" si="49"/>
        <v>615.5</v>
      </c>
      <c r="I117" s="64">
        <f t="shared" si="49"/>
        <v>410.33333333333337</v>
      </c>
      <c r="J117" s="64">
        <f t="shared" si="49"/>
        <v>205.16666666666674</v>
      </c>
      <c r="K117" s="64">
        <f t="shared" si="49"/>
        <v>0</v>
      </c>
      <c r="L117" s="64">
        <f t="shared" si="49"/>
        <v>0</v>
      </c>
      <c r="M117" s="64">
        <f t="shared" si="49"/>
        <v>0</v>
      </c>
      <c r="N117" s="64">
        <f t="shared" si="49"/>
        <v>0</v>
      </c>
      <c r="O117" s="64">
        <f t="shared" si="49"/>
        <v>0</v>
      </c>
      <c r="P117" s="64">
        <f t="shared" si="49"/>
        <v>0</v>
      </c>
      <c r="Q117" s="64">
        <f t="shared" si="49"/>
        <v>0</v>
      </c>
      <c r="R117" s="64">
        <f t="shared" si="49"/>
        <v>0</v>
      </c>
      <c r="S117" s="64">
        <f t="shared" si="49"/>
        <v>0</v>
      </c>
      <c r="T117" s="64">
        <f t="shared" si="49"/>
        <v>0</v>
      </c>
      <c r="U117" s="64">
        <f t="shared" si="49"/>
        <v>0</v>
      </c>
      <c r="V117" s="64">
        <f t="shared" si="49"/>
        <v>0</v>
      </c>
      <c r="W117" s="64">
        <f t="shared" si="49"/>
        <v>0</v>
      </c>
      <c r="X117" s="64">
        <f t="shared" si="49"/>
        <v>0</v>
      </c>
      <c r="Y117" s="64">
        <f t="shared" si="49"/>
        <v>0</v>
      </c>
      <c r="Z117" s="64">
        <f t="shared" si="49"/>
        <v>0</v>
      </c>
      <c r="AA117" s="64">
        <f t="shared" si="49"/>
        <v>0</v>
      </c>
      <c r="AB117" s="64">
        <f t="shared" si="49"/>
        <v>0</v>
      </c>
      <c r="AC117" s="64">
        <f t="shared" si="48"/>
        <v>0</v>
      </c>
    </row>
    <row r="118" spans="2:40" hidden="1" outlineLevel="1" x14ac:dyDescent="0.2">
      <c r="B118" t="s">
        <v>107</v>
      </c>
      <c r="G118" s="64">
        <f t="shared" ref="G118:AB118" si="50">+G64-G91</f>
        <v>780</v>
      </c>
      <c r="H118" s="64">
        <f t="shared" si="50"/>
        <v>624</v>
      </c>
      <c r="I118" s="64">
        <f t="shared" si="50"/>
        <v>468</v>
      </c>
      <c r="J118" s="64">
        <f t="shared" si="50"/>
        <v>312</v>
      </c>
      <c r="K118" s="64">
        <f t="shared" si="50"/>
        <v>156</v>
      </c>
      <c r="L118" s="64">
        <f t="shared" si="50"/>
        <v>0</v>
      </c>
      <c r="M118" s="64">
        <f t="shared" si="50"/>
        <v>0</v>
      </c>
      <c r="N118" s="64">
        <f t="shared" si="50"/>
        <v>0</v>
      </c>
      <c r="O118" s="64">
        <f t="shared" si="50"/>
        <v>0</v>
      </c>
      <c r="P118" s="64">
        <f t="shared" si="50"/>
        <v>0</v>
      </c>
      <c r="Q118" s="64">
        <f t="shared" si="50"/>
        <v>0</v>
      </c>
      <c r="R118" s="64">
        <f t="shared" si="50"/>
        <v>0</v>
      </c>
      <c r="S118" s="64">
        <f t="shared" si="50"/>
        <v>0</v>
      </c>
      <c r="T118" s="64">
        <f t="shared" si="50"/>
        <v>0</v>
      </c>
      <c r="U118" s="64">
        <f t="shared" si="50"/>
        <v>0</v>
      </c>
      <c r="V118" s="64">
        <f t="shared" si="50"/>
        <v>0</v>
      </c>
      <c r="W118" s="64">
        <f t="shared" si="50"/>
        <v>0</v>
      </c>
      <c r="X118" s="64">
        <f t="shared" si="50"/>
        <v>0</v>
      </c>
      <c r="Y118" s="64">
        <f t="shared" si="50"/>
        <v>0</v>
      </c>
      <c r="Z118" s="64">
        <f t="shared" si="50"/>
        <v>0</v>
      </c>
      <c r="AA118" s="64">
        <f t="shared" si="50"/>
        <v>0</v>
      </c>
      <c r="AB118" s="64">
        <f t="shared" si="50"/>
        <v>0</v>
      </c>
      <c r="AC118" s="64">
        <f t="shared" si="48"/>
        <v>0</v>
      </c>
    </row>
    <row r="119" spans="2:40" hidden="1" outlineLevel="1" x14ac:dyDescent="0.2">
      <c r="B119" t="s">
        <v>0</v>
      </c>
      <c r="H119" s="64">
        <f t="shared" ref="H119:AB119" si="51">+H65-H92</f>
        <v>1067.5</v>
      </c>
      <c r="I119" s="64">
        <f t="shared" si="51"/>
        <v>854</v>
      </c>
      <c r="J119" s="64">
        <f t="shared" si="51"/>
        <v>640.5</v>
      </c>
      <c r="K119" s="64">
        <f t="shared" si="51"/>
        <v>427</v>
      </c>
      <c r="L119" s="64">
        <f t="shared" si="51"/>
        <v>213.5</v>
      </c>
      <c r="M119" s="64">
        <f t="shared" si="51"/>
        <v>0</v>
      </c>
      <c r="N119" s="64">
        <f t="shared" si="51"/>
        <v>0</v>
      </c>
      <c r="O119" s="64">
        <f t="shared" si="51"/>
        <v>0</v>
      </c>
      <c r="P119" s="64">
        <f t="shared" si="51"/>
        <v>0</v>
      </c>
      <c r="Q119" s="64">
        <f t="shared" si="51"/>
        <v>0</v>
      </c>
      <c r="R119" s="64">
        <f t="shared" si="51"/>
        <v>0</v>
      </c>
      <c r="S119" s="64">
        <f t="shared" si="51"/>
        <v>0</v>
      </c>
      <c r="T119" s="64">
        <f t="shared" si="51"/>
        <v>0</v>
      </c>
      <c r="U119" s="64">
        <f t="shared" si="51"/>
        <v>0</v>
      </c>
      <c r="V119" s="64">
        <f t="shared" si="51"/>
        <v>0</v>
      </c>
      <c r="W119" s="64">
        <f t="shared" si="51"/>
        <v>0</v>
      </c>
      <c r="X119" s="64">
        <f t="shared" si="51"/>
        <v>0</v>
      </c>
      <c r="Y119" s="64">
        <f t="shared" si="51"/>
        <v>0</v>
      </c>
      <c r="Z119" s="64">
        <f t="shared" si="51"/>
        <v>0</v>
      </c>
      <c r="AA119" s="64">
        <f t="shared" si="51"/>
        <v>0</v>
      </c>
      <c r="AB119" s="64">
        <f t="shared" si="51"/>
        <v>0</v>
      </c>
      <c r="AC119" s="64">
        <f t="shared" si="48"/>
        <v>0</v>
      </c>
    </row>
    <row r="120" spans="2:40" hidden="1" outlineLevel="1" x14ac:dyDescent="0.2">
      <c r="B120" t="s">
        <v>1</v>
      </c>
      <c r="I120" s="64">
        <f t="shared" ref="I120:AB120" si="52">+I66-I93</f>
        <v>1792.5</v>
      </c>
      <c r="J120" s="64">
        <f t="shared" si="52"/>
        <v>1434</v>
      </c>
      <c r="K120" s="64">
        <f t="shared" si="52"/>
        <v>1075.5</v>
      </c>
      <c r="L120" s="64">
        <f t="shared" si="52"/>
        <v>717</v>
      </c>
      <c r="M120" s="64">
        <f t="shared" si="52"/>
        <v>358.5</v>
      </c>
      <c r="N120" s="64">
        <f t="shared" si="52"/>
        <v>0</v>
      </c>
      <c r="O120" s="64">
        <f t="shared" si="52"/>
        <v>0</v>
      </c>
      <c r="P120" s="64">
        <f t="shared" si="52"/>
        <v>0</v>
      </c>
      <c r="Q120" s="64">
        <f t="shared" si="52"/>
        <v>0</v>
      </c>
      <c r="R120" s="64">
        <f t="shared" si="52"/>
        <v>0</v>
      </c>
      <c r="S120" s="64">
        <f t="shared" si="52"/>
        <v>0</v>
      </c>
      <c r="T120" s="64">
        <f t="shared" si="52"/>
        <v>0</v>
      </c>
      <c r="U120" s="64">
        <f t="shared" si="52"/>
        <v>0</v>
      </c>
      <c r="V120" s="64">
        <f t="shared" si="52"/>
        <v>0</v>
      </c>
      <c r="W120" s="64">
        <f t="shared" si="52"/>
        <v>0</v>
      </c>
      <c r="X120" s="64">
        <f t="shared" si="52"/>
        <v>0</v>
      </c>
      <c r="Y120" s="64">
        <f t="shared" si="52"/>
        <v>0</v>
      </c>
      <c r="Z120" s="64">
        <f t="shared" si="52"/>
        <v>0</v>
      </c>
      <c r="AA120" s="64">
        <f t="shared" si="52"/>
        <v>0</v>
      </c>
      <c r="AB120" s="64">
        <f t="shared" si="52"/>
        <v>0</v>
      </c>
      <c r="AC120" s="64">
        <f t="shared" si="48"/>
        <v>0</v>
      </c>
      <c r="AD120" s="64"/>
    </row>
    <row r="121" spans="2:40" hidden="1" outlineLevel="1" x14ac:dyDescent="0.2">
      <c r="B121" t="s">
        <v>2</v>
      </c>
      <c r="J121" s="64">
        <f t="shared" ref="J121:AB121" si="53">+J67-J94</f>
        <v>2263.3333333333335</v>
      </c>
      <c r="K121" s="64">
        <f t="shared" si="53"/>
        <v>1810.6666666666665</v>
      </c>
      <c r="L121" s="64">
        <f t="shared" si="53"/>
        <v>1358</v>
      </c>
      <c r="M121" s="64">
        <f t="shared" si="53"/>
        <v>905.33333333333326</v>
      </c>
      <c r="N121" s="64">
        <f t="shared" si="53"/>
        <v>452.66666666666652</v>
      </c>
      <c r="O121" s="64">
        <f t="shared" si="53"/>
        <v>64.666666666666515</v>
      </c>
      <c r="P121" s="64">
        <f t="shared" si="53"/>
        <v>0</v>
      </c>
      <c r="Q121" s="64">
        <f t="shared" si="53"/>
        <v>0</v>
      </c>
      <c r="R121" s="64">
        <f t="shared" si="53"/>
        <v>0</v>
      </c>
      <c r="S121" s="64">
        <f t="shared" si="53"/>
        <v>0</v>
      </c>
      <c r="T121" s="64">
        <f t="shared" si="53"/>
        <v>0</v>
      </c>
      <c r="U121" s="64">
        <f t="shared" si="53"/>
        <v>0</v>
      </c>
      <c r="V121" s="64">
        <f t="shared" si="53"/>
        <v>0</v>
      </c>
      <c r="W121" s="64">
        <f t="shared" si="53"/>
        <v>0</v>
      </c>
      <c r="X121" s="64">
        <f t="shared" si="53"/>
        <v>0</v>
      </c>
      <c r="Y121" s="64">
        <f t="shared" si="53"/>
        <v>0</v>
      </c>
      <c r="Z121" s="64">
        <f t="shared" si="53"/>
        <v>0</v>
      </c>
      <c r="AA121" s="64">
        <f t="shared" si="53"/>
        <v>0</v>
      </c>
      <c r="AB121" s="64">
        <f t="shared" si="53"/>
        <v>0</v>
      </c>
      <c r="AC121" s="64">
        <f t="shared" si="48"/>
        <v>0</v>
      </c>
      <c r="AD121" s="64"/>
      <c r="AE121" s="64"/>
    </row>
    <row r="122" spans="2:40" hidden="1" outlineLevel="1" x14ac:dyDescent="0.2">
      <c r="B122" t="s">
        <v>3</v>
      </c>
      <c r="K122" s="64">
        <f t="shared" ref="K122:AB122" si="54">+K68-K95</f>
        <v>4526.666666666667</v>
      </c>
      <c r="L122" s="64">
        <f t="shared" si="54"/>
        <v>3621.333333333333</v>
      </c>
      <c r="M122" s="64">
        <f t="shared" si="54"/>
        <v>2716</v>
      </c>
      <c r="N122" s="64">
        <f t="shared" si="54"/>
        <v>1810.6666666666665</v>
      </c>
      <c r="O122" s="64">
        <f t="shared" si="54"/>
        <v>1034.6666666666661</v>
      </c>
      <c r="P122" s="64">
        <f t="shared" si="54"/>
        <v>310.39999999999964</v>
      </c>
      <c r="Q122" s="64">
        <f t="shared" si="54"/>
        <v>0</v>
      </c>
      <c r="R122" s="64">
        <f t="shared" si="54"/>
        <v>0</v>
      </c>
      <c r="S122" s="64">
        <f t="shared" si="54"/>
        <v>0</v>
      </c>
      <c r="T122" s="64">
        <f t="shared" si="54"/>
        <v>0</v>
      </c>
      <c r="U122" s="64">
        <f t="shared" si="54"/>
        <v>0</v>
      </c>
      <c r="V122" s="64">
        <f t="shared" si="54"/>
        <v>0</v>
      </c>
      <c r="W122" s="64">
        <f t="shared" si="54"/>
        <v>0</v>
      </c>
      <c r="X122" s="64">
        <f t="shared" si="54"/>
        <v>0</v>
      </c>
      <c r="Y122" s="64">
        <f t="shared" si="54"/>
        <v>0</v>
      </c>
      <c r="Z122" s="64">
        <f t="shared" si="54"/>
        <v>0</v>
      </c>
      <c r="AA122" s="64">
        <f t="shared" si="54"/>
        <v>0</v>
      </c>
      <c r="AB122" s="64">
        <f t="shared" si="54"/>
        <v>0</v>
      </c>
      <c r="AC122" s="64">
        <f t="shared" si="48"/>
        <v>0</v>
      </c>
      <c r="AD122" s="64"/>
      <c r="AE122" s="64"/>
      <c r="AF122" s="64"/>
    </row>
    <row r="123" spans="2:40" hidden="1" outlineLevel="1" x14ac:dyDescent="0.2">
      <c r="B123" t="s">
        <v>4</v>
      </c>
      <c r="L123" s="64">
        <f t="shared" ref="L123:AB123" si="55">+L69-L96</f>
        <v>7500</v>
      </c>
      <c r="M123" s="64">
        <f t="shared" si="55"/>
        <v>6000</v>
      </c>
      <c r="N123" s="64">
        <f t="shared" si="55"/>
        <v>4500</v>
      </c>
      <c r="O123" s="64">
        <f t="shared" si="55"/>
        <v>3214.2857142857138</v>
      </c>
      <c r="P123" s="64">
        <f t="shared" si="55"/>
        <v>2014.2857142857138</v>
      </c>
      <c r="Q123" s="64">
        <f t="shared" si="55"/>
        <v>889.28571428571377</v>
      </c>
      <c r="R123" s="64">
        <f t="shared" si="55"/>
        <v>0</v>
      </c>
      <c r="S123" s="64">
        <f t="shared" si="55"/>
        <v>0</v>
      </c>
      <c r="T123" s="64">
        <f t="shared" si="55"/>
        <v>0</v>
      </c>
      <c r="U123" s="64">
        <f t="shared" si="55"/>
        <v>0</v>
      </c>
      <c r="V123" s="64">
        <f t="shared" si="55"/>
        <v>0</v>
      </c>
      <c r="W123" s="64">
        <f t="shared" si="55"/>
        <v>0</v>
      </c>
      <c r="X123" s="64">
        <f t="shared" si="55"/>
        <v>0</v>
      </c>
      <c r="Y123" s="64">
        <f t="shared" si="55"/>
        <v>0</v>
      </c>
      <c r="Z123" s="64">
        <f t="shared" si="55"/>
        <v>0</v>
      </c>
      <c r="AA123" s="64">
        <f t="shared" si="55"/>
        <v>0</v>
      </c>
      <c r="AB123" s="64">
        <f t="shared" si="55"/>
        <v>0</v>
      </c>
      <c r="AC123" s="64">
        <f t="shared" si="48"/>
        <v>0</v>
      </c>
      <c r="AD123" s="64"/>
      <c r="AE123" s="64"/>
      <c r="AF123" s="64"/>
      <c r="AG123" s="64"/>
    </row>
    <row r="124" spans="2:40" hidden="1" outlineLevel="1" x14ac:dyDescent="0.2">
      <c r="B124" t="s">
        <v>5</v>
      </c>
      <c r="M124" s="64">
        <f t="shared" ref="M124:AB124" si="56">+M70-M97</f>
        <v>9618.3333333333339</v>
      </c>
      <c r="N124" s="64">
        <f t="shared" si="56"/>
        <v>7694.6666666666661</v>
      </c>
      <c r="O124" s="64">
        <f t="shared" si="56"/>
        <v>6045.8095238095239</v>
      </c>
      <c r="P124" s="64">
        <f t="shared" si="56"/>
        <v>4506.8761904761905</v>
      </c>
      <c r="Q124" s="64">
        <f t="shared" si="56"/>
        <v>3064.1261904761905</v>
      </c>
      <c r="R124" s="64">
        <f t="shared" si="56"/>
        <v>1621.3761904761905</v>
      </c>
      <c r="S124" s="64">
        <f t="shared" si="56"/>
        <v>178.62619047619046</v>
      </c>
      <c r="T124" s="64">
        <f t="shared" si="56"/>
        <v>0</v>
      </c>
      <c r="U124" s="64">
        <f t="shared" si="56"/>
        <v>0</v>
      </c>
      <c r="V124" s="64">
        <f t="shared" si="56"/>
        <v>0</v>
      </c>
      <c r="W124" s="64">
        <f t="shared" si="56"/>
        <v>0</v>
      </c>
      <c r="X124" s="64">
        <f t="shared" si="56"/>
        <v>0</v>
      </c>
      <c r="Y124" s="64">
        <f t="shared" si="56"/>
        <v>0</v>
      </c>
      <c r="Z124" s="64">
        <f t="shared" si="56"/>
        <v>0</v>
      </c>
      <c r="AA124" s="64">
        <f t="shared" si="56"/>
        <v>0</v>
      </c>
      <c r="AB124" s="64">
        <f t="shared" si="56"/>
        <v>0</v>
      </c>
      <c r="AC124" s="64">
        <f t="shared" si="48"/>
        <v>0</v>
      </c>
      <c r="AD124" s="64"/>
      <c r="AE124" s="64"/>
      <c r="AF124" s="64"/>
      <c r="AG124" s="64"/>
      <c r="AH124" s="64"/>
    </row>
    <row r="125" spans="2:40" hidden="1" outlineLevel="1" x14ac:dyDescent="0.2">
      <c r="B125" t="s">
        <v>6</v>
      </c>
      <c r="N125" s="64">
        <f t="shared" ref="N125:AB125" si="57">+N71-N98</f>
        <v>11563.333333333334</v>
      </c>
      <c r="O125" s="64">
        <f t="shared" si="57"/>
        <v>9581.0476190476184</v>
      </c>
      <c r="P125" s="64">
        <f t="shared" si="57"/>
        <v>7730.9142857142861</v>
      </c>
      <c r="Q125" s="64">
        <f t="shared" si="57"/>
        <v>5996.4142857142861</v>
      </c>
      <c r="R125" s="64">
        <f t="shared" si="57"/>
        <v>4261.914285714287</v>
      </c>
      <c r="S125" s="64">
        <f t="shared" si="57"/>
        <v>2527.414285714287</v>
      </c>
      <c r="T125" s="64">
        <f t="shared" si="57"/>
        <v>792.91428571428696</v>
      </c>
      <c r="U125" s="64">
        <f t="shared" si="57"/>
        <v>0</v>
      </c>
      <c r="V125" s="64">
        <f t="shared" si="57"/>
        <v>0</v>
      </c>
      <c r="W125" s="64">
        <f t="shared" si="57"/>
        <v>0</v>
      </c>
      <c r="X125" s="64">
        <f t="shared" si="57"/>
        <v>0</v>
      </c>
      <c r="Y125" s="64">
        <f t="shared" si="57"/>
        <v>0</v>
      </c>
      <c r="Z125" s="64">
        <f t="shared" si="57"/>
        <v>0</v>
      </c>
      <c r="AA125" s="64">
        <f t="shared" si="57"/>
        <v>0</v>
      </c>
      <c r="AB125" s="64">
        <f t="shared" si="57"/>
        <v>0</v>
      </c>
      <c r="AC125" s="64">
        <f t="shared" si="48"/>
        <v>0</v>
      </c>
      <c r="AD125" s="64"/>
      <c r="AE125" s="64"/>
      <c r="AF125" s="64"/>
      <c r="AG125" s="64"/>
      <c r="AH125" s="64"/>
      <c r="AI125" s="64"/>
    </row>
    <row r="126" spans="2:40" hidden="1" outlineLevel="1" x14ac:dyDescent="0.2">
      <c r="B126" t="s">
        <v>321</v>
      </c>
      <c r="O126" s="64">
        <f t="shared" ref="O126:AB126" si="58">+O72-O99</f>
        <v>11519.142857142857</v>
      </c>
      <c r="P126" s="64">
        <f t="shared" si="58"/>
        <v>9727.2761904761901</v>
      </c>
      <c r="Q126" s="64">
        <f t="shared" si="58"/>
        <v>8047.4011904761901</v>
      </c>
      <c r="R126" s="64">
        <f t="shared" si="58"/>
        <v>6367.5261904761901</v>
      </c>
      <c r="S126" s="64">
        <f t="shared" si="58"/>
        <v>4687.6511904761901</v>
      </c>
      <c r="T126" s="64">
        <f t="shared" si="58"/>
        <v>3007.7761904761901</v>
      </c>
      <c r="U126" s="64">
        <f t="shared" si="58"/>
        <v>1327.9011904761901</v>
      </c>
      <c r="V126" s="64">
        <f t="shared" si="58"/>
        <v>0</v>
      </c>
      <c r="W126" s="64">
        <f t="shared" si="58"/>
        <v>0</v>
      </c>
      <c r="X126" s="64">
        <f t="shared" si="58"/>
        <v>0</v>
      </c>
      <c r="Y126" s="64">
        <f t="shared" si="58"/>
        <v>0</v>
      </c>
      <c r="Z126" s="64">
        <f t="shared" si="58"/>
        <v>0</v>
      </c>
      <c r="AA126" s="64">
        <f t="shared" si="58"/>
        <v>0</v>
      </c>
      <c r="AB126" s="64">
        <f t="shared" si="58"/>
        <v>0</v>
      </c>
      <c r="AC126" s="64">
        <f t="shared" si="48"/>
        <v>0</v>
      </c>
      <c r="AD126" s="64"/>
      <c r="AE126" s="64"/>
      <c r="AF126" s="64"/>
      <c r="AG126" s="64"/>
      <c r="AH126" s="64"/>
      <c r="AI126" s="64"/>
      <c r="AJ126" s="64"/>
    </row>
    <row r="127" spans="2:40" hidden="1" outlineLevel="1" x14ac:dyDescent="0.2">
      <c r="B127" t="s">
        <v>306</v>
      </c>
      <c r="P127" s="64">
        <f t="shared" ref="P127:AB127" si="59">+P73-P100</f>
        <v>14073.8</v>
      </c>
      <c r="Q127" s="64">
        <f t="shared" si="59"/>
        <v>12043.924999999999</v>
      </c>
      <c r="R127" s="64">
        <f t="shared" si="59"/>
        <v>10014.049999999999</v>
      </c>
      <c r="S127" s="64">
        <f t="shared" si="59"/>
        <v>7984.1749999999993</v>
      </c>
      <c r="T127" s="64">
        <f t="shared" si="59"/>
        <v>5954.2999999999993</v>
      </c>
      <c r="U127" s="64">
        <f t="shared" si="59"/>
        <v>3924.4249999999993</v>
      </c>
      <c r="V127" s="64">
        <f t="shared" si="59"/>
        <v>1894.5499999999993</v>
      </c>
      <c r="W127" s="64">
        <f t="shared" si="59"/>
        <v>0</v>
      </c>
      <c r="X127" s="64">
        <f t="shared" si="59"/>
        <v>0</v>
      </c>
      <c r="Y127" s="64">
        <f t="shared" si="59"/>
        <v>0</v>
      </c>
      <c r="Z127" s="64">
        <f t="shared" si="59"/>
        <v>0</v>
      </c>
      <c r="AA127" s="64">
        <f t="shared" si="59"/>
        <v>0</v>
      </c>
      <c r="AB127" s="64">
        <f t="shared" si="59"/>
        <v>0</v>
      </c>
      <c r="AC127" s="64">
        <f t="shared" si="48"/>
        <v>0</v>
      </c>
      <c r="AD127" s="64"/>
      <c r="AE127" s="64"/>
      <c r="AF127" s="64"/>
      <c r="AG127" s="64"/>
      <c r="AH127" s="64"/>
      <c r="AI127" s="64"/>
      <c r="AJ127" s="64"/>
      <c r="AK127" s="64"/>
    </row>
    <row r="128" spans="2:40" hidden="1" outlineLevel="1" x14ac:dyDescent="0.2">
      <c r="B128" t="s">
        <v>357</v>
      </c>
      <c r="Q128" s="64">
        <f t="shared" ref="Q128:AB128" si="60">+Q74-Q101</f>
        <v>22759.625</v>
      </c>
      <c r="R128" s="64">
        <f t="shared" si="60"/>
        <v>19508.25</v>
      </c>
      <c r="S128" s="64">
        <f t="shared" si="60"/>
        <v>16256.875</v>
      </c>
      <c r="T128" s="64">
        <f t="shared" si="60"/>
        <v>13005.5</v>
      </c>
      <c r="U128" s="64">
        <f t="shared" si="60"/>
        <v>9754.125</v>
      </c>
      <c r="V128" s="64">
        <f t="shared" si="60"/>
        <v>6502.75</v>
      </c>
      <c r="W128" s="64">
        <f t="shared" si="60"/>
        <v>3251.375</v>
      </c>
      <c r="X128" s="64">
        <f t="shared" si="60"/>
        <v>0</v>
      </c>
      <c r="Y128" s="64">
        <f t="shared" si="60"/>
        <v>0</v>
      </c>
      <c r="Z128" s="64">
        <f t="shared" si="60"/>
        <v>0</v>
      </c>
      <c r="AA128" s="64">
        <f t="shared" si="60"/>
        <v>0</v>
      </c>
      <c r="AB128" s="64">
        <f t="shared" si="60"/>
        <v>0</v>
      </c>
      <c r="AC128" s="64">
        <f t="shared" si="48"/>
        <v>0</v>
      </c>
      <c r="AD128" s="64"/>
      <c r="AE128" s="64"/>
      <c r="AF128" s="64"/>
      <c r="AG128" s="64"/>
      <c r="AH128" s="64"/>
      <c r="AI128" s="64"/>
      <c r="AJ128" s="64"/>
      <c r="AK128" s="64"/>
      <c r="AL128" s="64"/>
    </row>
    <row r="129" spans="2:40" hidden="1" outlineLevel="1" x14ac:dyDescent="0.2">
      <c r="B129" t="s">
        <v>7</v>
      </c>
      <c r="R129" s="64">
        <f t="shared" ref="R129:AB129" si="61">+R75-R102</f>
        <v>29904.903625833329</v>
      </c>
      <c r="S129" s="64">
        <f t="shared" si="61"/>
        <v>25632.774536428569</v>
      </c>
      <c r="T129" s="64">
        <f t="shared" si="61"/>
        <v>21360.64544702381</v>
      </c>
      <c r="U129" s="64">
        <f t="shared" si="61"/>
        <v>17088.516357619046</v>
      </c>
      <c r="V129" s="64">
        <f t="shared" si="61"/>
        <v>12816.387268214283</v>
      </c>
      <c r="W129" s="64">
        <f t="shared" si="61"/>
        <v>8544.2581788095194</v>
      </c>
      <c r="X129" s="64">
        <f t="shared" si="61"/>
        <v>4272.1290894047561</v>
      </c>
      <c r="Y129" s="64">
        <f t="shared" si="61"/>
        <v>0</v>
      </c>
      <c r="Z129" s="64">
        <f t="shared" si="61"/>
        <v>0</v>
      </c>
      <c r="AA129" s="64">
        <f t="shared" si="61"/>
        <v>0</v>
      </c>
      <c r="AB129" s="64">
        <f t="shared" si="61"/>
        <v>0</v>
      </c>
      <c r="AC129" s="64">
        <f t="shared" si="48"/>
        <v>0</v>
      </c>
      <c r="AD129" s="64"/>
      <c r="AE129" s="64"/>
      <c r="AF129" s="64"/>
      <c r="AG129" s="64"/>
      <c r="AH129" s="64"/>
      <c r="AI129" s="64"/>
      <c r="AJ129" s="64"/>
      <c r="AK129" s="64"/>
      <c r="AL129" s="64"/>
      <c r="AM129" s="64"/>
    </row>
    <row r="130" spans="2:40" hidden="1" outlineLevel="1" x14ac:dyDescent="0.2">
      <c r="B130" t="s">
        <v>8</v>
      </c>
      <c r="S130" s="64">
        <f t="shared" ref="S130:AB130" si="62">+S76-S103</f>
        <v>33238.213623520933</v>
      </c>
      <c r="T130" s="64">
        <f t="shared" si="62"/>
        <v>28489.897391589369</v>
      </c>
      <c r="U130" s="64">
        <f t="shared" si="62"/>
        <v>23741.581159657806</v>
      </c>
      <c r="V130" s="64">
        <f t="shared" si="62"/>
        <v>18993.264927726246</v>
      </c>
      <c r="W130" s="64">
        <f t="shared" si="62"/>
        <v>14244.948695794687</v>
      </c>
      <c r="X130" s="64">
        <f t="shared" si="62"/>
        <v>9496.6324638631268</v>
      </c>
      <c r="Y130" s="64">
        <f t="shared" si="62"/>
        <v>4748.316231931567</v>
      </c>
      <c r="Z130" s="64">
        <f t="shared" si="62"/>
        <v>0</v>
      </c>
      <c r="AA130" s="64">
        <f t="shared" si="62"/>
        <v>0</v>
      </c>
      <c r="AB130" s="64">
        <f t="shared" si="62"/>
        <v>0</v>
      </c>
      <c r="AC130" s="64">
        <f t="shared" si="48"/>
        <v>0</v>
      </c>
      <c r="AD130" s="64"/>
      <c r="AE130" s="64"/>
      <c r="AF130" s="64"/>
      <c r="AG130" s="64"/>
      <c r="AH130" s="64"/>
      <c r="AI130" s="64"/>
      <c r="AJ130" s="64"/>
      <c r="AK130" s="64"/>
      <c r="AL130" s="64"/>
      <c r="AM130" s="64"/>
      <c r="AN130" s="64"/>
    </row>
    <row r="131" spans="2:40" hidden="1" outlineLevel="1" x14ac:dyDescent="0.2">
      <c r="B131" t="s">
        <v>9</v>
      </c>
      <c r="S131" s="64"/>
      <c r="T131" s="64">
        <f t="shared" ref="T131:AB131" si="63">+T77-T104</f>
        <v>32824.449407565698</v>
      </c>
      <c r="U131" s="64">
        <f t="shared" si="63"/>
        <v>28135.242349342028</v>
      </c>
      <c r="V131" s="64">
        <f t="shared" si="63"/>
        <v>23446.035291118355</v>
      </c>
      <c r="W131" s="64">
        <f t="shared" si="63"/>
        <v>18756.828232894684</v>
      </c>
      <c r="X131" s="64">
        <f t="shared" si="63"/>
        <v>14067.621174671014</v>
      </c>
      <c r="Y131" s="64">
        <f t="shared" si="63"/>
        <v>9378.414116447344</v>
      </c>
      <c r="Z131" s="64">
        <f t="shared" si="63"/>
        <v>4689.2070582236702</v>
      </c>
      <c r="AA131" s="64">
        <f t="shared" si="63"/>
        <v>0</v>
      </c>
      <c r="AB131" s="64">
        <f t="shared" si="63"/>
        <v>0</v>
      </c>
      <c r="AC131" s="64">
        <f t="shared" si="48"/>
        <v>0</v>
      </c>
      <c r="AD131" s="64"/>
      <c r="AE131" s="64"/>
      <c r="AF131" s="64"/>
      <c r="AG131" s="64"/>
      <c r="AH131" s="64"/>
      <c r="AI131" s="64"/>
      <c r="AJ131" s="64"/>
      <c r="AK131" s="64"/>
      <c r="AL131" s="64"/>
      <c r="AM131" s="64"/>
      <c r="AN131" s="64"/>
    </row>
    <row r="132" spans="2:40" hidden="1" outlineLevel="1" x14ac:dyDescent="0.2">
      <c r="B132" t="s">
        <v>10</v>
      </c>
      <c r="S132" s="64"/>
      <c r="T132" s="64"/>
      <c r="U132" s="64">
        <f t="shared" ref="U132:AB132" si="64">+U78-U105</f>
        <v>35131.143244700485</v>
      </c>
      <c r="V132" s="64">
        <f t="shared" si="64"/>
        <v>30112.408495457559</v>
      </c>
      <c r="W132" s="64">
        <f t="shared" si="64"/>
        <v>25093.67374621463</v>
      </c>
      <c r="X132" s="64">
        <f t="shared" si="64"/>
        <v>20074.938996971705</v>
      </c>
      <c r="Y132" s="64">
        <f t="shared" si="64"/>
        <v>15056.20424772878</v>
      </c>
      <c r="Z132" s="64">
        <f t="shared" si="64"/>
        <v>10037.469498485854</v>
      </c>
      <c r="AA132" s="64">
        <f t="shared" si="64"/>
        <v>5018.7347492429253</v>
      </c>
      <c r="AB132" s="64">
        <f t="shared" si="64"/>
        <v>0</v>
      </c>
      <c r="AC132" s="64">
        <f t="shared" si="48"/>
        <v>0</v>
      </c>
      <c r="AD132" s="64"/>
      <c r="AE132" s="64"/>
      <c r="AF132" s="64"/>
      <c r="AG132" s="64"/>
      <c r="AH132" s="64"/>
      <c r="AI132" s="64"/>
      <c r="AJ132" s="64"/>
      <c r="AK132" s="64"/>
      <c r="AL132" s="64"/>
      <c r="AM132" s="64"/>
      <c r="AN132" s="64"/>
    </row>
    <row r="133" spans="2:40" hidden="1" outlineLevel="1" x14ac:dyDescent="0.2">
      <c r="B133" t="s">
        <v>11</v>
      </c>
      <c r="S133" s="64"/>
      <c r="T133" s="64"/>
      <c r="U133" s="64"/>
      <c r="V133" s="64">
        <f t="shared" ref="V133:AB133" si="65">+V79-V106</f>
        <v>37314.647942728676</v>
      </c>
      <c r="W133" s="64">
        <f t="shared" si="65"/>
        <v>31983.983950910289</v>
      </c>
      <c r="X133" s="64">
        <f t="shared" si="65"/>
        <v>26653.31995909191</v>
      </c>
      <c r="Y133" s="64">
        <f t="shared" si="65"/>
        <v>21322.655967273527</v>
      </c>
      <c r="Z133" s="64">
        <f t="shared" si="65"/>
        <v>15991.991975455145</v>
      </c>
      <c r="AA133" s="64">
        <f t="shared" si="65"/>
        <v>10661.327983636762</v>
      </c>
      <c r="AB133" s="64">
        <f t="shared" si="65"/>
        <v>5330.6639918183791</v>
      </c>
      <c r="AC133" s="64">
        <f t="shared" si="48"/>
        <v>0</v>
      </c>
      <c r="AD133" s="64"/>
      <c r="AE133" s="64"/>
      <c r="AF133" s="64"/>
      <c r="AG133" s="64"/>
      <c r="AH133" s="64"/>
      <c r="AI133" s="64"/>
      <c r="AJ133" s="64"/>
      <c r="AK133" s="64"/>
      <c r="AL133" s="64"/>
      <c r="AM133" s="64"/>
      <c r="AN133" s="64"/>
    </row>
    <row r="134" spans="2:40" hidden="1" outlineLevel="1" x14ac:dyDescent="0.2">
      <c r="B134" t="s">
        <v>12</v>
      </c>
      <c r="S134" s="64"/>
      <c r="T134" s="64"/>
      <c r="U134" s="64"/>
      <c r="V134" s="64"/>
      <c r="W134" s="64">
        <f t="shared" ref="W134:AB134" si="66">+W80-W107</f>
        <v>41229.517400844481</v>
      </c>
      <c r="X134" s="64">
        <f t="shared" si="66"/>
        <v>35339.586343580988</v>
      </c>
      <c r="Y134" s="64">
        <f t="shared" si="66"/>
        <v>29449.655286317487</v>
      </c>
      <c r="Z134" s="64">
        <f t="shared" si="66"/>
        <v>23559.724229053991</v>
      </c>
      <c r="AA134" s="64">
        <f t="shared" si="66"/>
        <v>17669.793171790494</v>
      </c>
      <c r="AB134" s="64">
        <f t="shared" si="66"/>
        <v>11779.862114526994</v>
      </c>
      <c r="AC134" s="64">
        <f t="shared" si="48"/>
        <v>5889.9310572634931</v>
      </c>
      <c r="AD134" s="64"/>
      <c r="AE134" s="64"/>
      <c r="AF134" s="64"/>
      <c r="AG134" s="64"/>
      <c r="AH134" s="64"/>
      <c r="AI134" s="64"/>
      <c r="AJ134" s="64"/>
      <c r="AK134" s="64"/>
      <c r="AL134" s="64"/>
      <c r="AM134" s="64"/>
      <c r="AN134" s="64"/>
    </row>
    <row r="135" spans="2:40" hidden="1" outlineLevel="1" x14ac:dyDescent="0.2">
      <c r="B135" t="s">
        <v>13</v>
      </c>
      <c r="S135" s="64"/>
      <c r="T135" s="64"/>
      <c r="U135" s="64"/>
      <c r="V135" s="64"/>
      <c r="W135" s="64"/>
      <c r="X135" s="64">
        <f t="shared" ref="X135:AC135" si="67">+X81-X108</f>
        <v>45357.069476098412</v>
      </c>
      <c r="Y135" s="64">
        <f t="shared" si="67"/>
        <v>38877.488122370065</v>
      </c>
      <c r="Z135" s="64">
        <f t="shared" si="67"/>
        <v>32397.906768641726</v>
      </c>
      <c r="AA135" s="64">
        <f t="shared" si="67"/>
        <v>25918.325414913379</v>
      </c>
      <c r="AB135" s="64">
        <f t="shared" si="67"/>
        <v>19438.744061185032</v>
      </c>
      <c r="AC135" s="64">
        <f t="shared" si="67"/>
        <v>12959.162707456686</v>
      </c>
      <c r="AD135" s="64"/>
      <c r="AE135" s="64"/>
      <c r="AF135" s="64"/>
      <c r="AG135" s="64"/>
      <c r="AH135" s="64"/>
      <c r="AI135" s="64"/>
      <c r="AJ135" s="64"/>
      <c r="AK135" s="64"/>
      <c r="AL135" s="64"/>
      <c r="AM135" s="64"/>
      <c r="AN135" s="64"/>
    </row>
    <row r="136" spans="2:40" hidden="1" outlineLevel="1" x14ac:dyDescent="0.2">
      <c r="B136" t="s">
        <v>14</v>
      </c>
      <c r="S136" s="64"/>
      <c r="T136" s="64"/>
      <c r="U136" s="64"/>
      <c r="V136" s="64"/>
      <c r="W136" s="64"/>
      <c r="X136" s="64"/>
      <c r="Y136" s="64">
        <f>+Y82-Y109</f>
        <v>49707.198162409644</v>
      </c>
      <c r="Z136" s="64">
        <f>+Z82-Z109</f>
        <v>42606.169853493979</v>
      </c>
      <c r="AA136" s="64">
        <f>+AA82-AA109</f>
        <v>35505.14154457832</v>
      </c>
      <c r="AB136" s="64">
        <f>+AB82-AB109</f>
        <v>28404.113235662655</v>
      </c>
      <c r="AC136" s="64">
        <f>+AC82-AC109</f>
        <v>21303.084926746989</v>
      </c>
      <c r="AD136" s="64"/>
      <c r="AE136" s="64"/>
      <c r="AF136" s="64"/>
      <c r="AG136" s="64"/>
      <c r="AH136" s="64"/>
      <c r="AI136" s="64"/>
      <c r="AJ136" s="64"/>
      <c r="AK136" s="64"/>
      <c r="AL136" s="64"/>
      <c r="AM136" s="64"/>
      <c r="AN136" s="64"/>
    </row>
    <row r="137" spans="2:40" hidden="1" outlineLevel="1" x14ac:dyDescent="0.2">
      <c r="B137" t="s">
        <v>15</v>
      </c>
      <c r="S137" s="64"/>
      <c r="T137" s="64"/>
      <c r="U137" s="64"/>
      <c r="V137" s="64"/>
      <c r="W137" s="64"/>
      <c r="X137" s="64"/>
      <c r="Y137" s="64"/>
      <c r="Z137" s="64">
        <f>+Z83-Z110</f>
        <v>54290.920331048204</v>
      </c>
      <c r="AA137" s="64">
        <f>+AA83-AA110</f>
        <v>46535.074569469885</v>
      </c>
      <c r="AB137" s="64">
        <f>+AB83-AB110</f>
        <v>38779.228807891574</v>
      </c>
      <c r="AC137" s="64">
        <f>+AC83-AC110</f>
        <v>31023.383046313258</v>
      </c>
      <c r="AD137" s="64"/>
      <c r="AE137" s="64"/>
      <c r="AF137" s="64"/>
      <c r="AG137" s="64"/>
      <c r="AH137" s="64"/>
      <c r="AI137" s="64"/>
      <c r="AJ137" s="64"/>
      <c r="AK137" s="64"/>
      <c r="AL137" s="64"/>
      <c r="AM137" s="64"/>
      <c r="AN137" s="64"/>
    </row>
    <row r="138" spans="2:40" hidden="1" outlineLevel="1" x14ac:dyDescent="0.2">
      <c r="B138" t="s">
        <v>325</v>
      </c>
      <c r="S138" s="64"/>
      <c r="T138" s="64"/>
      <c r="U138" s="64"/>
      <c r="V138" s="64"/>
      <c r="W138" s="64"/>
      <c r="X138" s="64"/>
      <c r="Y138" s="64"/>
      <c r="Z138" s="64"/>
      <c r="AA138" s="64">
        <f>+AA84-AA111</f>
        <v>59120.372578562965</v>
      </c>
      <c r="AB138" s="64">
        <f>+AB84-AB111</f>
        <v>50674.605067339682</v>
      </c>
      <c r="AC138" s="64">
        <f>+AC84-AC111</f>
        <v>42228.837556116407</v>
      </c>
      <c r="AD138" s="64"/>
      <c r="AE138" s="64"/>
      <c r="AF138" s="64"/>
      <c r="AG138" s="64"/>
      <c r="AH138" s="64"/>
      <c r="AI138" s="64"/>
      <c r="AJ138" s="64"/>
      <c r="AK138" s="64"/>
      <c r="AL138" s="64"/>
      <c r="AM138" s="64"/>
      <c r="AN138" s="64"/>
    </row>
    <row r="139" spans="2:40" hidden="1" outlineLevel="1" x14ac:dyDescent="0.2">
      <c r="B139" t="s">
        <v>346</v>
      </c>
      <c r="S139" s="64"/>
      <c r="T139" s="64"/>
      <c r="U139" s="64"/>
      <c r="V139" s="64"/>
      <c r="W139" s="64"/>
      <c r="X139" s="64"/>
      <c r="Y139" s="64"/>
      <c r="Z139" s="64"/>
      <c r="AA139" s="64"/>
      <c r="AB139" s="64">
        <f>+AB85-AB112</f>
        <v>64208.81654059422</v>
      </c>
      <c r="AC139" s="64">
        <f>+AC85-AC112</f>
        <v>55036.128463366476</v>
      </c>
      <c r="AD139" s="64"/>
      <c r="AE139" s="64"/>
      <c r="AF139" s="64"/>
      <c r="AG139" s="64"/>
      <c r="AH139" s="64"/>
      <c r="AI139" s="64"/>
      <c r="AJ139" s="64"/>
      <c r="AK139" s="64"/>
      <c r="AL139" s="64"/>
      <c r="AM139" s="64"/>
      <c r="AN139" s="64"/>
    </row>
    <row r="140" spans="2:40" hidden="1" outlineLevel="1" x14ac:dyDescent="0.2">
      <c r="B140" t="s">
        <v>426</v>
      </c>
      <c r="S140" s="64"/>
      <c r="T140" s="64"/>
      <c r="U140" s="64"/>
      <c r="V140" s="64"/>
      <c r="W140" s="64"/>
      <c r="X140" s="64"/>
      <c r="Y140" s="64"/>
      <c r="Z140" s="64"/>
      <c r="AA140" s="64"/>
      <c r="AB140" s="64"/>
      <c r="AC140" s="64">
        <f>+AC86-AC113</f>
        <v>69570.65214236411</v>
      </c>
      <c r="AD140" s="64"/>
      <c r="AE140" s="64"/>
      <c r="AF140" s="64"/>
      <c r="AG140" s="64"/>
      <c r="AH140" s="64"/>
      <c r="AI140" s="64"/>
      <c r="AJ140" s="64"/>
      <c r="AK140" s="64"/>
      <c r="AL140" s="64"/>
      <c r="AM140" s="64"/>
      <c r="AN140" s="64"/>
    </row>
    <row r="141" spans="2:40" collapsed="1" x14ac:dyDescent="0.2"/>
    <row r="142" spans="2:40" x14ac:dyDescent="0.2">
      <c r="B142" s="52" t="s">
        <v>390</v>
      </c>
      <c r="C142" s="53"/>
    </row>
    <row r="144" spans="2:40" x14ac:dyDescent="0.2">
      <c r="B144" s="54" t="s">
        <v>391</v>
      </c>
    </row>
    <row r="145" spans="2:29" x14ac:dyDescent="0.2">
      <c r="B145" t="s">
        <v>401</v>
      </c>
      <c r="D145" s="81">
        <v>29</v>
      </c>
      <c r="E145" s="81">
        <v>34</v>
      </c>
      <c r="F145" s="81">
        <v>36</v>
      </c>
      <c r="G145" s="81">
        <v>45</v>
      </c>
      <c r="H145" s="81">
        <v>153</v>
      </c>
      <c r="I145" s="81">
        <v>596</v>
      </c>
      <c r="J145" s="81">
        <v>696</v>
      </c>
      <c r="K145" s="81">
        <v>798</v>
      </c>
      <c r="L145" s="81">
        <v>899</v>
      </c>
      <c r="M145" s="81">
        <v>1097</v>
      </c>
      <c r="N145" s="81">
        <v>1326</v>
      </c>
      <c r="O145" s="81">
        <v>1688</v>
      </c>
      <c r="P145" s="81">
        <v>1874</v>
      </c>
      <c r="Q145" s="81">
        <v>2080</v>
      </c>
    </row>
    <row r="146" spans="2:29" x14ac:dyDescent="0.2">
      <c r="B146" t="s">
        <v>405</v>
      </c>
      <c r="D146" s="81">
        <v>478</v>
      </c>
      <c r="E146" s="81">
        <v>1016</v>
      </c>
      <c r="F146" s="81">
        <v>1912</v>
      </c>
      <c r="G146" s="81">
        <v>2351</v>
      </c>
      <c r="H146" s="81">
        <v>3020</v>
      </c>
      <c r="I146" s="81">
        <v>3633</v>
      </c>
      <c r="J146" s="81">
        <v>5179</v>
      </c>
      <c r="K146" s="81">
        <v>7998</v>
      </c>
      <c r="L146" s="81">
        <v>13017</v>
      </c>
      <c r="M146" s="81">
        <v>17004</v>
      </c>
      <c r="N146" s="81">
        <v>22003</v>
      </c>
      <c r="O146" s="81">
        <v>25584</v>
      </c>
      <c r="P146" s="81">
        <v>34330</v>
      </c>
      <c r="Q146" s="81">
        <v>46838</v>
      </c>
    </row>
    <row r="147" spans="2:29" x14ac:dyDescent="0.2">
      <c r="B147" t="s">
        <v>402</v>
      </c>
      <c r="D147" s="81">
        <v>0</v>
      </c>
      <c r="E147" s="81">
        <v>355</v>
      </c>
      <c r="F147" s="81">
        <v>594</v>
      </c>
      <c r="G147" s="81">
        <v>1071</v>
      </c>
      <c r="H147" s="81">
        <v>1420</v>
      </c>
      <c r="I147" s="81">
        <v>2273</v>
      </c>
      <c r="J147" s="81">
        <v>3109</v>
      </c>
      <c r="K147" s="81">
        <v>4909</v>
      </c>
      <c r="L147" s="81">
        <v>7401</v>
      </c>
      <c r="M147" s="81">
        <v>11226</v>
      </c>
      <c r="N147" s="81">
        <v>17360</v>
      </c>
      <c r="O147" s="81">
        <v>22531</v>
      </c>
      <c r="P147" s="81">
        <v>27720</v>
      </c>
      <c r="Q147" s="81">
        <v>37961</v>
      </c>
    </row>
    <row r="148" spans="2:29" x14ac:dyDescent="0.2">
      <c r="B148" t="s">
        <v>406</v>
      </c>
      <c r="D148" s="81">
        <v>58</v>
      </c>
      <c r="E148" s="81">
        <v>120</v>
      </c>
      <c r="F148" s="81">
        <v>194</v>
      </c>
      <c r="G148" s="81">
        <v>203</v>
      </c>
      <c r="H148" s="81">
        <v>304</v>
      </c>
      <c r="I148" s="81">
        <v>447</v>
      </c>
      <c r="J148" s="81">
        <v>531</v>
      </c>
      <c r="K148" s="81">
        <v>959</v>
      </c>
      <c r="L148" s="81">
        <v>1841</v>
      </c>
      <c r="M148" s="81">
        <v>3112</v>
      </c>
      <c r="N148" s="81">
        <v>4321</v>
      </c>
      <c r="O148" s="81">
        <v>5795</v>
      </c>
      <c r="P148" s="81">
        <v>6522</v>
      </c>
      <c r="Q148" s="81">
        <v>6972</v>
      </c>
    </row>
    <row r="149" spans="2:29" x14ac:dyDescent="0.2">
      <c r="B149" t="s">
        <v>407</v>
      </c>
      <c r="D149" s="81">
        <v>61</v>
      </c>
      <c r="E149" s="81">
        <v>73</v>
      </c>
      <c r="F149" s="81">
        <v>93</v>
      </c>
      <c r="G149" s="81">
        <v>95</v>
      </c>
      <c r="H149" s="81">
        <v>149</v>
      </c>
      <c r="I149" s="81">
        <v>248</v>
      </c>
      <c r="J149" s="81">
        <v>398</v>
      </c>
      <c r="K149" s="81">
        <v>681</v>
      </c>
      <c r="L149" s="81">
        <v>1187</v>
      </c>
      <c r="M149" s="81">
        <v>1813</v>
      </c>
      <c r="N149" s="81">
        <v>2458</v>
      </c>
      <c r="O149" s="81">
        <v>4764</v>
      </c>
      <c r="P149" s="81">
        <v>5642</v>
      </c>
      <c r="Q149" s="81">
        <v>7416</v>
      </c>
    </row>
    <row r="150" spans="2:29" x14ac:dyDescent="0.2">
      <c r="B150" t="s">
        <v>408</v>
      </c>
      <c r="D150" s="81">
        <v>0</v>
      </c>
      <c r="E150" s="81">
        <v>0</v>
      </c>
      <c r="F150" s="81">
        <v>0</v>
      </c>
      <c r="G150" s="81">
        <v>0</v>
      </c>
      <c r="H150" s="81">
        <v>0</v>
      </c>
      <c r="I150" s="81">
        <v>0</v>
      </c>
      <c r="J150" s="81">
        <v>0</v>
      </c>
      <c r="K150" s="81">
        <v>0</v>
      </c>
      <c r="L150" s="81">
        <v>0</v>
      </c>
      <c r="M150" s="81">
        <v>1635</v>
      </c>
      <c r="N150" s="81">
        <v>2295</v>
      </c>
      <c r="O150" s="81">
        <v>2840</v>
      </c>
      <c r="P150" s="81">
        <v>3353</v>
      </c>
      <c r="Q150" s="81">
        <v>4185</v>
      </c>
    </row>
    <row r="151" spans="2:29" ht="13.5" x14ac:dyDescent="0.35">
      <c r="B151" t="s">
        <v>409</v>
      </c>
      <c r="D151" s="82">
        <v>194</v>
      </c>
      <c r="E151" s="82">
        <v>327</v>
      </c>
      <c r="F151" s="82">
        <v>444</v>
      </c>
      <c r="G151" s="82">
        <v>377</v>
      </c>
      <c r="H151" s="82">
        <v>738</v>
      </c>
      <c r="I151" s="82">
        <v>622</v>
      </c>
      <c r="J151" s="82">
        <v>1890</v>
      </c>
      <c r="K151" s="82">
        <v>2992</v>
      </c>
      <c r="L151" s="82">
        <v>7228</v>
      </c>
      <c r="M151" s="82">
        <v>10099</v>
      </c>
      <c r="N151" s="82">
        <v>11288</v>
      </c>
      <c r="O151" s="82">
        <v>14687</v>
      </c>
      <c r="P151" s="82">
        <v>25052</v>
      </c>
      <c r="Q151" s="82">
        <v>24269</v>
      </c>
    </row>
    <row r="152" spans="2:29" s="44" customFormat="1" x14ac:dyDescent="0.2">
      <c r="B152" s="110" t="s">
        <v>392</v>
      </c>
      <c r="D152" s="111">
        <f t="shared" ref="D152:Q152" si="68">SUM(D145:D151)</f>
        <v>820</v>
      </c>
      <c r="E152" s="111">
        <f t="shared" si="68"/>
        <v>1925</v>
      </c>
      <c r="F152" s="111">
        <f t="shared" si="68"/>
        <v>3273</v>
      </c>
      <c r="G152" s="111">
        <f t="shared" si="68"/>
        <v>4142</v>
      </c>
      <c r="H152" s="111">
        <f t="shared" si="68"/>
        <v>5784</v>
      </c>
      <c r="I152" s="111">
        <f t="shared" si="68"/>
        <v>7819</v>
      </c>
      <c r="J152" s="111">
        <f t="shared" si="68"/>
        <v>11803</v>
      </c>
      <c r="K152" s="111">
        <f t="shared" si="68"/>
        <v>18337</v>
      </c>
      <c r="L152" s="111">
        <f t="shared" si="68"/>
        <v>31573</v>
      </c>
      <c r="M152" s="111">
        <f t="shared" si="68"/>
        <v>45986</v>
      </c>
      <c r="N152" s="111">
        <f t="shared" si="68"/>
        <v>61051</v>
      </c>
      <c r="O152" s="111">
        <f t="shared" si="68"/>
        <v>77889</v>
      </c>
      <c r="P152" s="111">
        <f t="shared" si="68"/>
        <v>104493</v>
      </c>
      <c r="Q152" s="111">
        <f t="shared" si="68"/>
        <v>129721</v>
      </c>
      <c r="R152" s="111">
        <f>+R159</f>
        <v>165439.79805041035</v>
      </c>
      <c r="S152" s="111">
        <f t="shared" ref="S152:AC152" si="69">+S159</f>
        <v>207253.0460877046</v>
      </c>
      <c r="T152" s="111">
        <f t="shared" si="69"/>
        <v>250541.25052827288</v>
      </c>
      <c r="U152" s="111">
        <f t="shared" si="69"/>
        <v>295147.9235672772</v>
      </c>
      <c r="V152" s="111">
        <f t="shared" si="69"/>
        <v>340905.07132369594</v>
      </c>
      <c r="W152" s="111">
        <f t="shared" si="69"/>
        <v>390139.24659716623</v>
      </c>
      <c r="X152" s="111">
        <f t="shared" si="69"/>
        <v>443021.2495576173</v>
      </c>
      <c r="Y152" s="111">
        <f t="shared" si="69"/>
        <v>499733.25237741933</v>
      </c>
      <c r="Z152" s="111">
        <f t="shared" si="69"/>
        <v>560469.45089657255</v>
      </c>
      <c r="AA152" s="111">
        <f t="shared" si="69"/>
        <v>625436.75605387834</v>
      </c>
      <c r="AB152" s="111">
        <f t="shared" si="69"/>
        <v>694855.52745134896</v>
      </c>
      <c r="AC152" s="111">
        <f t="shared" si="69"/>
        <v>768960.35156139429</v>
      </c>
    </row>
    <row r="153" spans="2:29" s="44" customFormat="1" x14ac:dyDescent="0.2">
      <c r="B153" s="60" t="s">
        <v>528</v>
      </c>
      <c r="D153" s="111"/>
      <c r="E153" s="111"/>
      <c r="F153" s="111"/>
      <c r="G153" s="95">
        <f>+G152-G151</f>
        <v>3765</v>
      </c>
      <c r="H153" s="95">
        <f t="shared" ref="H153:Q153" si="70">+H152-H151</f>
        <v>5046</v>
      </c>
      <c r="I153" s="95">
        <f t="shared" si="70"/>
        <v>7197</v>
      </c>
      <c r="J153" s="95">
        <f t="shared" si="70"/>
        <v>9913</v>
      </c>
      <c r="K153" s="95">
        <f t="shared" si="70"/>
        <v>15345</v>
      </c>
      <c r="L153" s="95">
        <f t="shared" si="70"/>
        <v>24345</v>
      </c>
      <c r="M153" s="95">
        <f t="shared" si="70"/>
        <v>35887</v>
      </c>
      <c r="N153" s="95">
        <f t="shared" si="70"/>
        <v>49763</v>
      </c>
      <c r="O153" s="95">
        <f t="shared" si="70"/>
        <v>63202</v>
      </c>
      <c r="P153" s="95">
        <f t="shared" si="70"/>
        <v>79441</v>
      </c>
      <c r="Q153" s="95">
        <f t="shared" si="70"/>
        <v>105452</v>
      </c>
      <c r="R153" s="95">
        <f>+Q153+R21</f>
        <v>139629.03271523811</v>
      </c>
      <c r="S153" s="95">
        <f t="shared" ref="S153:AC153" si="71">+R153+S21</f>
        <v>177615.56257069058</v>
      </c>
      <c r="T153" s="95">
        <f t="shared" si="71"/>
        <v>215129.21903647995</v>
      </c>
      <c r="U153" s="95">
        <f t="shared" si="71"/>
        <v>255279.09703042335</v>
      </c>
      <c r="V153" s="95">
        <f t="shared" si="71"/>
        <v>297924.40896497038</v>
      </c>
      <c r="W153" s="95">
        <f t="shared" si="71"/>
        <v>345043.85742307839</v>
      </c>
      <c r="X153" s="95">
        <f t="shared" si="71"/>
        <v>396880.50825290516</v>
      </c>
      <c r="Y153" s="95">
        <f t="shared" si="71"/>
        <v>453688.73472423048</v>
      </c>
      <c r="Z153" s="95">
        <f t="shared" si="71"/>
        <v>515735.50081685698</v>
      </c>
      <c r="AA153" s="95">
        <f t="shared" si="71"/>
        <v>583301.64090664324</v>
      </c>
      <c r="AB153" s="95">
        <f t="shared" si="71"/>
        <v>656683.14552446525</v>
      </c>
      <c r="AC153" s="95">
        <f t="shared" si="71"/>
        <v>736192.46225859562</v>
      </c>
    </row>
    <row r="154" spans="2:29" s="44" customFormat="1" x14ac:dyDescent="0.2">
      <c r="B154" s="110"/>
      <c r="O154" s="111"/>
      <c r="P154" s="111"/>
      <c r="Q154" s="111"/>
    </row>
    <row r="155" spans="2:29" s="44" customFormat="1" x14ac:dyDescent="0.2">
      <c r="B155" t="s">
        <v>393</v>
      </c>
      <c r="D155" s="64"/>
      <c r="E155" s="64">
        <f>+D152</f>
        <v>820</v>
      </c>
      <c r="F155" s="64">
        <f t="shared" ref="F155:Q155" si="72">+E152</f>
        <v>1925</v>
      </c>
      <c r="G155" s="64">
        <f t="shared" si="72"/>
        <v>3273</v>
      </c>
      <c r="H155" s="64">
        <f t="shared" si="72"/>
        <v>4142</v>
      </c>
      <c r="I155" s="64">
        <f t="shared" si="72"/>
        <v>5784</v>
      </c>
      <c r="J155" s="64">
        <f t="shared" si="72"/>
        <v>7819</v>
      </c>
      <c r="K155" s="64">
        <f t="shared" si="72"/>
        <v>11803</v>
      </c>
      <c r="L155" s="64">
        <f t="shared" si="72"/>
        <v>18337</v>
      </c>
      <c r="M155" s="64">
        <f t="shared" si="72"/>
        <v>31573</v>
      </c>
      <c r="N155" s="64">
        <f t="shared" si="72"/>
        <v>45986</v>
      </c>
      <c r="O155" s="64">
        <f t="shared" si="72"/>
        <v>61051</v>
      </c>
      <c r="P155" s="64">
        <f t="shared" si="72"/>
        <v>77889</v>
      </c>
      <c r="Q155" s="64">
        <f t="shared" si="72"/>
        <v>104493</v>
      </c>
      <c r="R155" s="64">
        <f>+Q159</f>
        <v>129721</v>
      </c>
      <c r="S155" s="64">
        <f t="shared" ref="S155:AC155" si="73">+R159</f>
        <v>165439.79805041035</v>
      </c>
      <c r="T155" s="64">
        <f t="shared" si="73"/>
        <v>207253.0460877046</v>
      </c>
      <c r="U155" s="64">
        <f t="shared" si="73"/>
        <v>250541.25052827288</v>
      </c>
      <c r="V155" s="64">
        <f t="shared" si="73"/>
        <v>295147.9235672772</v>
      </c>
      <c r="W155" s="64">
        <f t="shared" si="73"/>
        <v>340905.07132369594</v>
      </c>
      <c r="X155" s="64">
        <f t="shared" si="73"/>
        <v>390139.24659716623</v>
      </c>
      <c r="Y155" s="64">
        <f t="shared" si="73"/>
        <v>443021.2495576173</v>
      </c>
      <c r="Z155" s="64">
        <f t="shared" si="73"/>
        <v>499733.25237741933</v>
      </c>
      <c r="AA155" s="64">
        <f t="shared" si="73"/>
        <v>560469.45089657255</v>
      </c>
      <c r="AB155" s="64">
        <f t="shared" si="73"/>
        <v>625436.75605387834</v>
      </c>
      <c r="AC155" s="64">
        <f t="shared" si="73"/>
        <v>694855.52745134896</v>
      </c>
    </row>
    <row r="156" spans="2:29" s="44" customFormat="1" x14ac:dyDescent="0.2">
      <c r="B156" t="s">
        <v>376</v>
      </c>
      <c r="D156" s="81"/>
      <c r="E156" s="81">
        <v>606</v>
      </c>
      <c r="F156" s="81">
        <v>1235</v>
      </c>
      <c r="G156" s="81">
        <v>1362</v>
      </c>
      <c r="H156" s="81">
        <v>1831</v>
      </c>
      <c r="I156" s="81">
        <v>2523</v>
      </c>
      <c r="J156" s="81">
        <v>4491</v>
      </c>
      <c r="K156" s="81">
        <v>6733</v>
      </c>
      <c r="L156" s="81">
        <v>13915</v>
      </c>
      <c r="M156" s="81">
        <v>15102</v>
      </c>
      <c r="N156" s="81">
        <v>15115</v>
      </c>
      <c r="O156" s="81">
        <v>18567</v>
      </c>
      <c r="P156" s="81">
        <v>31431</v>
      </c>
      <c r="Q156" s="81">
        <v>27266</v>
      </c>
      <c r="R156" s="64">
        <f>+R17</f>
        <v>37974.480794708994</v>
      </c>
      <c r="S156" s="64">
        <f t="shared" ref="S156:AC157" si="74">+S17</f>
        <v>44690.035124061753</v>
      </c>
      <c r="T156" s="64">
        <f t="shared" si="74"/>
        <v>46892.070582236709</v>
      </c>
      <c r="U156" s="64">
        <f t="shared" si="74"/>
        <v>48963.26584627245</v>
      </c>
      <c r="V156" s="64">
        <f t="shared" si="74"/>
        <v>50889.393716643266</v>
      </c>
      <c r="W156" s="64">
        <f t="shared" si="74"/>
        <v>55162.079674675697</v>
      </c>
      <c r="X156" s="64">
        <f t="shared" si="74"/>
        <v>59666.026876570315</v>
      </c>
      <c r="Y156" s="64">
        <f t="shared" si="74"/>
        <v>64415.577321885321</v>
      </c>
      <c r="Z156" s="64">
        <f t="shared" si="74"/>
        <v>69425.922419986528</v>
      </c>
      <c r="AA156" s="64">
        <f t="shared" si="74"/>
        <v>74713.154087655872</v>
      </c>
      <c r="AB156" s="64">
        <f t="shared" si="74"/>
        <v>80294.318905436681</v>
      </c>
      <c r="AC156" s="64">
        <f t="shared" si="74"/>
        <v>86187.475516159626</v>
      </c>
    </row>
    <row r="157" spans="2:29" s="44" customFormat="1" x14ac:dyDescent="0.2">
      <c r="B157" t="s">
        <v>377</v>
      </c>
      <c r="D157" s="81"/>
      <c r="E157" s="81">
        <v>0</v>
      </c>
      <c r="F157" s="81">
        <v>0</v>
      </c>
      <c r="G157" s="81">
        <v>0</v>
      </c>
      <c r="H157" s="81">
        <v>0</v>
      </c>
      <c r="I157" s="81">
        <v>0</v>
      </c>
      <c r="J157" s="81">
        <v>0</v>
      </c>
      <c r="K157" s="81">
        <v>0</v>
      </c>
      <c r="L157" s="81">
        <v>0</v>
      </c>
      <c r="M157" s="81">
        <v>0</v>
      </c>
      <c r="N157" s="81">
        <v>0</v>
      </c>
      <c r="O157" s="81">
        <v>0</v>
      </c>
      <c r="P157" s="81">
        <v>-245</v>
      </c>
      <c r="Q157" s="81">
        <v>-221</v>
      </c>
      <c r="R157" s="111">
        <f>+R18</f>
        <v>0</v>
      </c>
      <c r="S157" s="111">
        <f t="shared" si="74"/>
        <v>0</v>
      </c>
      <c r="T157" s="111">
        <f t="shared" si="74"/>
        <v>0</v>
      </c>
      <c r="U157" s="111">
        <f t="shared" si="74"/>
        <v>0</v>
      </c>
      <c r="V157" s="111">
        <f t="shared" si="74"/>
        <v>0</v>
      </c>
      <c r="W157" s="111">
        <f t="shared" si="74"/>
        <v>0</v>
      </c>
      <c r="X157" s="111">
        <f t="shared" si="74"/>
        <v>0</v>
      </c>
      <c r="Y157" s="111">
        <f t="shared" si="74"/>
        <v>0</v>
      </c>
      <c r="Z157" s="111">
        <f t="shared" si="74"/>
        <v>0</v>
      </c>
      <c r="AA157" s="111">
        <f t="shared" si="74"/>
        <v>0</v>
      </c>
      <c r="AB157" s="111">
        <f t="shared" si="74"/>
        <v>0</v>
      </c>
      <c r="AC157" s="111">
        <f t="shared" si="74"/>
        <v>0</v>
      </c>
    </row>
    <row r="158" spans="2:29" s="44" customFormat="1" ht="13.5" x14ac:dyDescent="0.35">
      <c r="B158" t="s">
        <v>33</v>
      </c>
      <c r="D158" s="65"/>
      <c r="E158" s="65">
        <f t="shared" ref="E158:Q158" si="75">+E159-SUM(E155:E157)</f>
        <v>499</v>
      </c>
      <c r="F158" s="65">
        <f t="shared" si="75"/>
        <v>113</v>
      </c>
      <c r="G158" s="65">
        <f t="shared" si="75"/>
        <v>-493</v>
      </c>
      <c r="H158" s="65">
        <f t="shared" si="75"/>
        <v>-189</v>
      </c>
      <c r="I158" s="65">
        <f t="shared" si="75"/>
        <v>-488</v>
      </c>
      <c r="J158" s="65">
        <f t="shared" si="75"/>
        <v>-507</v>
      </c>
      <c r="K158" s="65">
        <f t="shared" si="75"/>
        <v>-199</v>
      </c>
      <c r="L158" s="65">
        <f t="shared" si="75"/>
        <v>-679</v>
      </c>
      <c r="M158" s="65">
        <f t="shared" si="75"/>
        <v>-689</v>
      </c>
      <c r="N158" s="65">
        <f t="shared" si="75"/>
        <v>-50</v>
      </c>
      <c r="O158" s="65">
        <f t="shared" si="75"/>
        <v>-1729</v>
      </c>
      <c r="P158" s="65">
        <f t="shared" si="75"/>
        <v>-4582</v>
      </c>
      <c r="Q158" s="65">
        <f t="shared" si="75"/>
        <v>-1817</v>
      </c>
      <c r="R158" s="71">
        <f>+Q158/Q155*R155</f>
        <v>-2255.6827442986614</v>
      </c>
      <c r="S158" s="71">
        <f t="shared" ref="S158:AC158" si="76">+R158/R155*S155</f>
        <v>-2876.7870867674928</v>
      </c>
      <c r="T158" s="71">
        <f t="shared" si="76"/>
        <v>-3603.8661416684304</v>
      </c>
      <c r="U158" s="71">
        <f t="shared" si="76"/>
        <v>-4356.59280726816</v>
      </c>
      <c r="V158" s="71">
        <f t="shared" si="76"/>
        <v>-5132.245960224539</v>
      </c>
      <c r="W158" s="71">
        <f t="shared" si="76"/>
        <v>-5927.9044012053973</v>
      </c>
      <c r="X158" s="71">
        <f t="shared" si="76"/>
        <v>-6784.0239161192721</v>
      </c>
      <c r="Y158" s="71">
        <f t="shared" si="76"/>
        <v>-7703.5745020833037</v>
      </c>
      <c r="Z158" s="71">
        <f t="shared" si="76"/>
        <v>-8689.7239008332708</v>
      </c>
      <c r="AA158" s="71">
        <f t="shared" si="76"/>
        <v>-9745.8489303500937</v>
      </c>
      <c r="AB158" s="71">
        <f t="shared" si="76"/>
        <v>-10875.547507966055</v>
      </c>
      <c r="AC158" s="71">
        <f t="shared" si="76"/>
        <v>-12082.651406114295</v>
      </c>
    </row>
    <row r="159" spans="2:29" s="44" customFormat="1" x14ac:dyDescent="0.2">
      <c r="B159" s="110" t="s">
        <v>392</v>
      </c>
      <c r="D159" s="111"/>
      <c r="E159" s="111">
        <f t="shared" ref="E159:Q159" si="77">+E152</f>
        <v>1925</v>
      </c>
      <c r="F159" s="111">
        <f t="shared" si="77"/>
        <v>3273</v>
      </c>
      <c r="G159" s="111">
        <f t="shared" si="77"/>
        <v>4142</v>
      </c>
      <c r="H159" s="111">
        <f t="shared" si="77"/>
        <v>5784</v>
      </c>
      <c r="I159" s="111">
        <f t="shared" si="77"/>
        <v>7819</v>
      </c>
      <c r="J159" s="111">
        <f t="shared" si="77"/>
        <v>11803</v>
      </c>
      <c r="K159" s="111">
        <f t="shared" si="77"/>
        <v>18337</v>
      </c>
      <c r="L159" s="111">
        <f t="shared" si="77"/>
        <v>31573</v>
      </c>
      <c r="M159" s="111">
        <f t="shared" si="77"/>
        <v>45986</v>
      </c>
      <c r="N159" s="111">
        <f t="shared" si="77"/>
        <v>61051</v>
      </c>
      <c r="O159" s="111">
        <f t="shared" si="77"/>
        <v>77889</v>
      </c>
      <c r="P159" s="111">
        <f t="shared" si="77"/>
        <v>104493</v>
      </c>
      <c r="Q159" s="111">
        <f t="shared" si="77"/>
        <v>129721</v>
      </c>
      <c r="R159" s="111">
        <f>SUM(R155:R158)</f>
        <v>165439.79805041035</v>
      </c>
      <c r="S159" s="111">
        <f t="shared" ref="S159:AC159" si="78">SUM(S155:S158)</f>
        <v>207253.0460877046</v>
      </c>
      <c r="T159" s="111">
        <f t="shared" si="78"/>
        <v>250541.25052827288</v>
      </c>
      <c r="U159" s="111">
        <f t="shared" si="78"/>
        <v>295147.9235672772</v>
      </c>
      <c r="V159" s="111">
        <f t="shared" si="78"/>
        <v>340905.07132369594</v>
      </c>
      <c r="W159" s="111">
        <f t="shared" si="78"/>
        <v>390139.24659716623</v>
      </c>
      <c r="X159" s="111">
        <f t="shared" si="78"/>
        <v>443021.2495576173</v>
      </c>
      <c r="Y159" s="111">
        <f t="shared" si="78"/>
        <v>499733.25237741933</v>
      </c>
      <c r="Z159" s="111">
        <f t="shared" si="78"/>
        <v>560469.45089657255</v>
      </c>
      <c r="AA159" s="111">
        <f t="shared" si="78"/>
        <v>625436.75605387834</v>
      </c>
      <c r="AB159" s="111">
        <f t="shared" si="78"/>
        <v>694855.52745134896</v>
      </c>
      <c r="AC159" s="111">
        <f t="shared" si="78"/>
        <v>768960.35156139429</v>
      </c>
    </row>
    <row r="160" spans="2:29" x14ac:dyDescent="0.2">
      <c r="M160" s="64"/>
      <c r="N160" s="64"/>
      <c r="O160" s="64"/>
      <c r="P160" s="64"/>
    </row>
    <row r="161" spans="2:29" x14ac:dyDescent="0.2">
      <c r="B161" s="54" t="s">
        <v>394</v>
      </c>
    </row>
    <row r="162" spans="2:29" s="44" customFormat="1" x14ac:dyDescent="0.2">
      <c r="B162" s="44" t="s">
        <v>388</v>
      </c>
      <c r="D162" s="113">
        <v>246</v>
      </c>
      <c r="E162" s="113">
        <v>450</v>
      </c>
      <c r="F162" s="113">
        <v>882</v>
      </c>
      <c r="G162" s="113">
        <v>1260</v>
      </c>
      <c r="H162" s="113">
        <v>1817</v>
      </c>
      <c r="I162" s="113">
        <v>2132</v>
      </c>
      <c r="J162" s="113">
        <v>3212</v>
      </c>
      <c r="K162" s="113">
        <v>4616</v>
      </c>
      <c r="L162" s="113">
        <v>6890</v>
      </c>
      <c r="M162" s="113">
        <v>10663</v>
      </c>
      <c r="N162" s="113">
        <v>15418</v>
      </c>
      <c r="O162" s="113">
        <v>20080</v>
      </c>
      <c r="P162" s="113">
        <v>24975</v>
      </c>
      <c r="Q162" s="113">
        <v>33134</v>
      </c>
      <c r="R162" s="111">
        <f>+R167</f>
        <v>44642.119253139921</v>
      </c>
      <c r="S162" s="111">
        <f t="shared" ref="S162:AC162" si="79">+S167</f>
        <v>58692.343905788599</v>
      </c>
      <c r="T162" s="111">
        <f t="shared" si="79"/>
        <v>74559.822295334539</v>
      </c>
      <c r="U162" s="111">
        <f t="shared" si="79"/>
        <v>92510.037613953202</v>
      </c>
      <c r="V162" s="111">
        <f t="shared" si="79"/>
        <v>112591.90609118971</v>
      </c>
      <c r="W162" s="111">
        <f t="shared" si="79"/>
        <v>134802.42217363426</v>
      </c>
      <c r="X162" s="111">
        <f t="shared" si="79"/>
        <v>159056.3217634157</v>
      </c>
      <c r="Y162" s="111">
        <f t="shared" si="79"/>
        <v>184384.39337972659</v>
      </c>
      <c r="Z162" s="111">
        <f t="shared" si="79"/>
        <v>210297.77811748366</v>
      </c>
      <c r="AA162" s="111">
        <f t="shared" si="79"/>
        <v>236943.23060778531</v>
      </c>
      <c r="AB162" s="111">
        <f t="shared" si="79"/>
        <v>265023.00683111377</v>
      </c>
      <c r="AC162" s="111">
        <f t="shared" si="79"/>
        <v>294809.41958580352</v>
      </c>
    </row>
    <row r="164" spans="2:29" x14ac:dyDescent="0.2">
      <c r="B164" t="s">
        <v>395</v>
      </c>
      <c r="D164" s="64"/>
      <c r="E164" s="64">
        <f>+D162</f>
        <v>246</v>
      </c>
      <c r="F164" s="64">
        <f t="shared" ref="F164:Q164" si="80">+E167</f>
        <v>450</v>
      </c>
      <c r="G164" s="64">
        <f t="shared" si="80"/>
        <v>882</v>
      </c>
      <c r="H164" s="64">
        <f t="shared" si="80"/>
        <v>1260</v>
      </c>
      <c r="I164" s="64">
        <f t="shared" si="80"/>
        <v>1817</v>
      </c>
      <c r="J164" s="64">
        <f t="shared" si="80"/>
        <v>2132</v>
      </c>
      <c r="K164" s="64">
        <f t="shared" si="80"/>
        <v>3212</v>
      </c>
      <c r="L164" s="64">
        <f t="shared" si="80"/>
        <v>4616</v>
      </c>
      <c r="M164" s="64">
        <f t="shared" si="80"/>
        <v>6890</v>
      </c>
      <c r="N164" s="64">
        <f t="shared" si="80"/>
        <v>10663</v>
      </c>
      <c r="O164" s="64">
        <f t="shared" si="80"/>
        <v>15418</v>
      </c>
      <c r="P164" s="64">
        <f t="shared" si="80"/>
        <v>20080</v>
      </c>
      <c r="Q164" s="64">
        <f t="shared" si="80"/>
        <v>24975</v>
      </c>
      <c r="R164" s="64">
        <f>+Q167</f>
        <v>33134</v>
      </c>
      <c r="S164" s="64">
        <f t="shared" ref="S164:AC164" si="81">+R167</f>
        <v>44642.119253139921</v>
      </c>
      <c r="T164" s="64">
        <f t="shared" si="81"/>
        <v>58692.343905788599</v>
      </c>
      <c r="U164" s="64">
        <f t="shared" si="81"/>
        <v>74559.822295334539</v>
      </c>
      <c r="V164" s="64">
        <f t="shared" si="81"/>
        <v>92510.037613953202</v>
      </c>
      <c r="W164" s="64">
        <f t="shared" si="81"/>
        <v>112591.90609118971</v>
      </c>
      <c r="X164" s="64">
        <f t="shared" si="81"/>
        <v>134802.42217363426</v>
      </c>
      <c r="Y164" s="64">
        <f t="shared" si="81"/>
        <v>159056.3217634157</v>
      </c>
      <c r="Z164" s="64">
        <f t="shared" si="81"/>
        <v>184384.39337972659</v>
      </c>
      <c r="AA164" s="64">
        <f t="shared" si="81"/>
        <v>210297.77811748366</v>
      </c>
      <c r="AB164" s="64">
        <f t="shared" si="81"/>
        <v>236943.23060778531</v>
      </c>
      <c r="AC164" s="64">
        <f t="shared" si="81"/>
        <v>265023.00683111377</v>
      </c>
    </row>
    <row r="165" spans="2:29" x14ac:dyDescent="0.2">
      <c r="B165" t="s">
        <v>396</v>
      </c>
      <c r="D165" s="81"/>
      <c r="E165" s="81">
        <v>323</v>
      </c>
      <c r="F165" s="81">
        <v>649</v>
      </c>
      <c r="G165" s="81">
        <v>866</v>
      </c>
      <c r="H165" s="81">
        <v>924</v>
      </c>
      <c r="I165" s="81">
        <v>1215</v>
      </c>
      <c r="J165" s="81">
        <v>1591</v>
      </c>
      <c r="K165" s="81">
        <v>2333</v>
      </c>
      <c r="L165" s="81">
        <v>3675</v>
      </c>
      <c r="M165" s="81">
        <v>5179</v>
      </c>
      <c r="N165" s="81">
        <v>6389</v>
      </c>
      <c r="O165" s="81">
        <v>7560</v>
      </c>
      <c r="P165" s="81">
        <v>8501</v>
      </c>
      <c r="Q165" s="81">
        <v>11017</v>
      </c>
      <c r="R165" s="64">
        <f>+R49</f>
        <v>15299.789803690475</v>
      </c>
      <c r="S165" s="64">
        <f t="shared" ref="S165:AC165" si="82">+S49</f>
        <v>19158.820321336323</v>
      </c>
      <c r="T165" s="64">
        <f t="shared" si="82"/>
        <v>22583.903570036186</v>
      </c>
      <c r="U165" s="64">
        <f t="shared" si="82"/>
        <v>26482.426414517206</v>
      </c>
      <c r="V165" s="64">
        <f t="shared" si="82"/>
        <v>30668.202311097491</v>
      </c>
      <c r="W165" s="64">
        <f t="shared" si="82"/>
        <v>35094.907177884801</v>
      </c>
      <c r="X165" s="64">
        <f t="shared" si="82"/>
        <v>39679.938531613145</v>
      </c>
      <c r="Y165" s="64">
        <f t="shared" si="82"/>
        <v>43529.591840528803</v>
      </c>
      <c r="Z165" s="64">
        <f t="shared" si="82"/>
        <v>47013.308512702359</v>
      </c>
      <c r="AA165" s="64">
        <f t="shared" si="82"/>
        <v>50710.759791994082</v>
      </c>
      <c r="AB165" s="64">
        <f t="shared" si="82"/>
        <v>55194.240810998155</v>
      </c>
      <c r="AC165" s="64">
        <f t="shared" si="82"/>
        <v>60114.17065352152</v>
      </c>
    </row>
    <row r="166" spans="2:29" ht="13.5" x14ac:dyDescent="0.35">
      <c r="B166" t="s">
        <v>33</v>
      </c>
      <c r="D166" s="65"/>
      <c r="E166" s="65">
        <f t="shared" ref="E166:Q166" si="83">+E167-SUM(E164:E165)</f>
        <v>-119</v>
      </c>
      <c r="F166" s="65">
        <f t="shared" si="83"/>
        <v>-217</v>
      </c>
      <c r="G166" s="65">
        <f t="shared" si="83"/>
        <v>-488</v>
      </c>
      <c r="H166" s="65">
        <f t="shared" si="83"/>
        <v>-367</v>
      </c>
      <c r="I166" s="65">
        <f t="shared" si="83"/>
        <v>-900</v>
      </c>
      <c r="J166" s="65">
        <f t="shared" si="83"/>
        <v>-511</v>
      </c>
      <c r="K166" s="65">
        <f t="shared" si="83"/>
        <v>-929</v>
      </c>
      <c r="L166" s="65">
        <f t="shared" si="83"/>
        <v>-1401</v>
      </c>
      <c r="M166" s="65">
        <f t="shared" si="83"/>
        <v>-1406</v>
      </c>
      <c r="N166" s="65">
        <f t="shared" si="83"/>
        <v>-1634</v>
      </c>
      <c r="O166" s="65">
        <f t="shared" si="83"/>
        <v>-2898</v>
      </c>
      <c r="P166" s="65">
        <f t="shared" si="83"/>
        <v>-3606</v>
      </c>
      <c r="Q166" s="65">
        <f t="shared" si="83"/>
        <v>-2858</v>
      </c>
      <c r="R166" s="71">
        <f>+Q166/Q164*R164</f>
        <v>-3791.6705505505506</v>
      </c>
      <c r="S166" s="71">
        <f t="shared" ref="S166:AC166" si="84">+R166/R164*S164</f>
        <v>-5108.5956686876434</v>
      </c>
      <c r="T166" s="71">
        <f t="shared" si="84"/>
        <v>-6716.4251804902433</v>
      </c>
      <c r="U166" s="71">
        <f t="shared" si="84"/>
        <v>-8532.211095898545</v>
      </c>
      <c r="V166" s="71">
        <f t="shared" si="84"/>
        <v>-10586.333833860994</v>
      </c>
      <c r="W166" s="71">
        <f t="shared" si="84"/>
        <v>-12884.391095440251</v>
      </c>
      <c r="X166" s="71">
        <f t="shared" si="84"/>
        <v>-15426.038941831705</v>
      </c>
      <c r="Y166" s="71">
        <f t="shared" si="84"/>
        <v>-18201.520224217904</v>
      </c>
      <c r="Z166" s="71">
        <f t="shared" si="84"/>
        <v>-21099.923774945291</v>
      </c>
      <c r="AA166" s="71">
        <f t="shared" si="84"/>
        <v>-24065.307301692428</v>
      </c>
      <c r="AB166" s="71">
        <f t="shared" si="84"/>
        <v>-27114.464587669689</v>
      </c>
      <c r="AC166" s="71">
        <f t="shared" si="84"/>
        <v>-30327.757898831762</v>
      </c>
    </row>
    <row r="167" spans="2:29" s="44" customFormat="1" x14ac:dyDescent="0.2">
      <c r="B167" s="110" t="s">
        <v>388</v>
      </c>
      <c r="D167" s="111"/>
      <c r="E167" s="111">
        <f t="shared" ref="E167:Q167" si="85">+E162</f>
        <v>450</v>
      </c>
      <c r="F167" s="111">
        <f t="shared" si="85"/>
        <v>882</v>
      </c>
      <c r="G167" s="111">
        <f t="shared" si="85"/>
        <v>1260</v>
      </c>
      <c r="H167" s="111">
        <f t="shared" si="85"/>
        <v>1817</v>
      </c>
      <c r="I167" s="111">
        <f t="shared" si="85"/>
        <v>2132</v>
      </c>
      <c r="J167" s="111">
        <f t="shared" si="85"/>
        <v>3212</v>
      </c>
      <c r="K167" s="111">
        <f t="shared" si="85"/>
        <v>4616</v>
      </c>
      <c r="L167" s="111">
        <f t="shared" si="85"/>
        <v>6890</v>
      </c>
      <c r="M167" s="111">
        <f t="shared" si="85"/>
        <v>10663</v>
      </c>
      <c r="N167" s="111">
        <f t="shared" si="85"/>
        <v>15418</v>
      </c>
      <c r="O167" s="111">
        <f t="shared" si="85"/>
        <v>20080</v>
      </c>
      <c r="P167" s="111">
        <f t="shared" si="85"/>
        <v>24975</v>
      </c>
      <c r="Q167" s="111">
        <f t="shared" si="85"/>
        <v>33134</v>
      </c>
      <c r="R167" s="111">
        <f>SUM(R164:R166)</f>
        <v>44642.119253139921</v>
      </c>
      <c r="S167" s="111">
        <f t="shared" ref="S167:AC167" si="86">SUM(S164:S166)</f>
        <v>58692.343905788599</v>
      </c>
      <c r="T167" s="111">
        <f t="shared" si="86"/>
        <v>74559.822295334539</v>
      </c>
      <c r="U167" s="111">
        <f t="shared" si="86"/>
        <v>92510.037613953202</v>
      </c>
      <c r="V167" s="111">
        <f t="shared" si="86"/>
        <v>112591.90609118971</v>
      </c>
      <c r="W167" s="111">
        <f t="shared" si="86"/>
        <v>134802.42217363426</v>
      </c>
      <c r="X167" s="111">
        <f t="shared" si="86"/>
        <v>159056.3217634157</v>
      </c>
      <c r="Y167" s="111">
        <f t="shared" si="86"/>
        <v>184384.39337972659</v>
      </c>
      <c r="Z167" s="111">
        <f t="shared" si="86"/>
        <v>210297.77811748366</v>
      </c>
      <c r="AA167" s="111">
        <f t="shared" si="86"/>
        <v>236943.23060778531</v>
      </c>
      <c r="AB167" s="111">
        <f t="shared" si="86"/>
        <v>265023.00683111377</v>
      </c>
      <c r="AC167" s="111">
        <f t="shared" si="86"/>
        <v>294809.41958580352</v>
      </c>
    </row>
    <row r="168" spans="2:29" x14ac:dyDescent="0.2">
      <c r="B168" s="60"/>
      <c r="D168" s="206"/>
      <c r="E168" s="206"/>
      <c r="F168" s="206"/>
      <c r="G168" s="206"/>
      <c r="H168" s="206"/>
      <c r="I168" s="206"/>
      <c r="J168" s="206"/>
      <c r="K168" s="206"/>
      <c r="L168" s="206"/>
      <c r="M168" s="206"/>
      <c r="N168" s="206"/>
      <c r="O168" s="206"/>
      <c r="P168" s="206"/>
      <c r="Q168" s="206"/>
    </row>
    <row r="169" spans="2:29" x14ac:dyDescent="0.2">
      <c r="B169" s="54" t="s">
        <v>398</v>
      </c>
    </row>
    <row r="170" spans="2:29" x14ac:dyDescent="0.2">
      <c r="B170" t="s">
        <v>392</v>
      </c>
      <c r="D170" s="64">
        <f t="shared" ref="D170:Q170" si="87">+D152</f>
        <v>820</v>
      </c>
      <c r="E170" s="64">
        <f t="shared" si="87"/>
        <v>1925</v>
      </c>
      <c r="F170" s="64">
        <f t="shared" si="87"/>
        <v>3273</v>
      </c>
      <c r="G170" s="64">
        <f t="shared" si="87"/>
        <v>4142</v>
      </c>
      <c r="H170" s="64">
        <f t="shared" si="87"/>
        <v>5784</v>
      </c>
      <c r="I170" s="64">
        <f t="shared" si="87"/>
        <v>7819</v>
      </c>
      <c r="J170" s="64">
        <f t="shared" si="87"/>
        <v>11803</v>
      </c>
      <c r="K170" s="64">
        <f t="shared" si="87"/>
        <v>18337</v>
      </c>
      <c r="L170" s="64">
        <f t="shared" si="87"/>
        <v>31573</v>
      </c>
      <c r="M170" s="64">
        <f t="shared" si="87"/>
        <v>45986</v>
      </c>
      <c r="N170" s="64">
        <f t="shared" si="87"/>
        <v>61051</v>
      </c>
      <c r="O170" s="64">
        <f t="shared" si="87"/>
        <v>77889</v>
      </c>
      <c r="P170" s="64">
        <f t="shared" si="87"/>
        <v>104493</v>
      </c>
      <c r="Q170" s="64">
        <f t="shared" si="87"/>
        <v>129721</v>
      </c>
      <c r="R170" s="64">
        <f t="shared" ref="R170:AC170" si="88">+R152</f>
        <v>165439.79805041035</v>
      </c>
      <c r="S170" s="64">
        <f t="shared" si="88"/>
        <v>207253.0460877046</v>
      </c>
      <c r="T170" s="64">
        <f t="shared" si="88"/>
        <v>250541.25052827288</v>
      </c>
      <c r="U170" s="64">
        <f t="shared" si="88"/>
        <v>295147.9235672772</v>
      </c>
      <c r="V170" s="64">
        <f t="shared" si="88"/>
        <v>340905.07132369594</v>
      </c>
      <c r="W170" s="64">
        <f t="shared" si="88"/>
        <v>390139.24659716623</v>
      </c>
      <c r="X170" s="64">
        <f t="shared" si="88"/>
        <v>443021.2495576173</v>
      </c>
      <c r="Y170" s="64">
        <f t="shared" si="88"/>
        <v>499733.25237741933</v>
      </c>
      <c r="Z170" s="64">
        <f t="shared" si="88"/>
        <v>560469.45089657255</v>
      </c>
      <c r="AA170" s="64">
        <f t="shared" si="88"/>
        <v>625436.75605387834</v>
      </c>
      <c r="AB170" s="64">
        <f t="shared" si="88"/>
        <v>694855.52745134896</v>
      </c>
      <c r="AC170" s="64">
        <f t="shared" si="88"/>
        <v>768960.35156139429</v>
      </c>
    </row>
    <row r="171" spans="2:29" ht="13.5" x14ac:dyDescent="0.35">
      <c r="B171" t="s">
        <v>388</v>
      </c>
      <c r="D171" s="65">
        <f t="shared" ref="D171:Q171" si="89">-D162</f>
        <v>-246</v>
      </c>
      <c r="E171" s="65">
        <f t="shared" si="89"/>
        <v>-450</v>
      </c>
      <c r="F171" s="65">
        <f t="shared" si="89"/>
        <v>-882</v>
      </c>
      <c r="G171" s="65">
        <f t="shared" si="89"/>
        <v>-1260</v>
      </c>
      <c r="H171" s="65">
        <f t="shared" si="89"/>
        <v>-1817</v>
      </c>
      <c r="I171" s="65">
        <f t="shared" si="89"/>
        <v>-2132</v>
      </c>
      <c r="J171" s="65">
        <f t="shared" si="89"/>
        <v>-3212</v>
      </c>
      <c r="K171" s="65">
        <f t="shared" si="89"/>
        <v>-4616</v>
      </c>
      <c r="L171" s="65">
        <f t="shared" si="89"/>
        <v>-6890</v>
      </c>
      <c r="M171" s="65">
        <f t="shared" si="89"/>
        <v>-10663</v>
      </c>
      <c r="N171" s="65">
        <f t="shared" si="89"/>
        <v>-15418</v>
      </c>
      <c r="O171" s="65">
        <f t="shared" si="89"/>
        <v>-20080</v>
      </c>
      <c r="P171" s="65">
        <f t="shared" si="89"/>
        <v>-24975</v>
      </c>
      <c r="Q171" s="65">
        <f t="shared" si="89"/>
        <v>-33134</v>
      </c>
      <c r="R171" s="65">
        <f t="shared" ref="R171:AC171" si="90">-R162</f>
        <v>-44642.119253139921</v>
      </c>
      <c r="S171" s="65">
        <f t="shared" si="90"/>
        <v>-58692.343905788599</v>
      </c>
      <c r="T171" s="65">
        <f t="shared" si="90"/>
        <v>-74559.822295334539</v>
      </c>
      <c r="U171" s="65">
        <f t="shared" si="90"/>
        <v>-92510.037613953202</v>
      </c>
      <c r="V171" s="65">
        <f t="shared" si="90"/>
        <v>-112591.90609118971</v>
      </c>
      <c r="W171" s="65">
        <f t="shared" si="90"/>
        <v>-134802.42217363426</v>
      </c>
      <c r="X171" s="65">
        <f t="shared" si="90"/>
        <v>-159056.3217634157</v>
      </c>
      <c r="Y171" s="65">
        <f t="shared" si="90"/>
        <v>-184384.39337972659</v>
      </c>
      <c r="Z171" s="65">
        <f t="shared" si="90"/>
        <v>-210297.77811748366</v>
      </c>
      <c r="AA171" s="65">
        <f t="shared" si="90"/>
        <v>-236943.23060778531</v>
      </c>
      <c r="AB171" s="65">
        <f t="shared" si="90"/>
        <v>-265023.00683111377</v>
      </c>
      <c r="AC171" s="65">
        <f t="shared" si="90"/>
        <v>-294809.41958580352</v>
      </c>
    </row>
    <row r="172" spans="2:29" s="44" customFormat="1" x14ac:dyDescent="0.2">
      <c r="B172" s="110" t="s">
        <v>399</v>
      </c>
      <c r="D172" s="111">
        <f t="shared" ref="D172:AC172" si="91">SUM(D170:D171)</f>
        <v>574</v>
      </c>
      <c r="E172" s="111">
        <f t="shared" si="91"/>
        <v>1475</v>
      </c>
      <c r="F172" s="111">
        <f t="shared" si="91"/>
        <v>2391</v>
      </c>
      <c r="G172" s="111">
        <f t="shared" si="91"/>
        <v>2882</v>
      </c>
      <c r="H172" s="111">
        <f t="shared" si="91"/>
        <v>3967</v>
      </c>
      <c r="I172" s="111">
        <f t="shared" si="91"/>
        <v>5687</v>
      </c>
      <c r="J172" s="111">
        <f t="shared" si="91"/>
        <v>8591</v>
      </c>
      <c r="K172" s="111">
        <f t="shared" si="91"/>
        <v>13721</v>
      </c>
      <c r="L172" s="111">
        <f t="shared" si="91"/>
        <v>24683</v>
      </c>
      <c r="M172" s="111">
        <f t="shared" si="91"/>
        <v>35323</v>
      </c>
      <c r="N172" s="111">
        <f t="shared" si="91"/>
        <v>45633</v>
      </c>
      <c r="O172" s="111">
        <f t="shared" si="91"/>
        <v>57809</v>
      </c>
      <c r="P172" s="111">
        <f t="shared" si="91"/>
        <v>79518</v>
      </c>
      <c r="Q172" s="111">
        <f t="shared" si="91"/>
        <v>96587</v>
      </c>
      <c r="R172" s="111">
        <f t="shared" si="91"/>
        <v>120797.67879727043</v>
      </c>
      <c r="S172" s="111">
        <f t="shared" si="91"/>
        <v>148560.70218191599</v>
      </c>
      <c r="T172" s="111">
        <f t="shared" si="91"/>
        <v>175981.42823293834</v>
      </c>
      <c r="U172" s="111">
        <f t="shared" si="91"/>
        <v>202637.885953324</v>
      </c>
      <c r="V172" s="111">
        <f t="shared" si="91"/>
        <v>228313.16523250623</v>
      </c>
      <c r="W172" s="111">
        <f t="shared" si="91"/>
        <v>255336.82442353197</v>
      </c>
      <c r="X172" s="111">
        <f t="shared" si="91"/>
        <v>283964.92779420159</v>
      </c>
      <c r="Y172" s="111">
        <f t="shared" si="91"/>
        <v>315348.8589976927</v>
      </c>
      <c r="Z172" s="111">
        <f t="shared" si="91"/>
        <v>350171.6727790889</v>
      </c>
      <c r="AA172" s="111">
        <f t="shared" si="91"/>
        <v>388493.52544609306</v>
      </c>
      <c r="AB172" s="111">
        <f t="shared" si="91"/>
        <v>429832.52062023518</v>
      </c>
      <c r="AC172" s="111">
        <f t="shared" si="91"/>
        <v>474150.93197559076</v>
      </c>
    </row>
    <row r="174" spans="2:29" x14ac:dyDescent="0.2">
      <c r="B174" t="s">
        <v>400</v>
      </c>
      <c r="D174" s="64"/>
      <c r="E174" s="64">
        <f t="shared" ref="E174:AC174" si="92">+D172</f>
        <v>574</v>
      </c>
      <c r="F174" s="64">
        <f t="shared" si="92"/>
        <v>1475</v>
      </c>
      <c r="G174" s="64">
        <f t="shared" si="92"/>
        <v>2391</v>
      </c>
      <c r="H174" s="64">
        <f t="shared" si="92"/>
        <v>2882</v>
      </c>
      <c r="I174" s="64">
        <f t="shared" si="92"/>
        <v>3967</v>
      </c>
      <c r="J174" s="64">
        <f t="shared" si="92"/>
        <v>5687</v>
      </c>
      <c r="K174" s="64">
        <f t="shared" si="92"/>
        <v>8591</v>
      </c>
      <c r="L174" s="64">
        <f t="shared" si="92"/>
        <v>13721</v>
      </c>
      <c r="M174" s="64">
        <f t="shared" si="92"/>
        <v>24683</v>
      </c>
      <c r="N174" s="64">
        <f t="shared" si="92"/>
        <v>35323</v>
      </c>
      <c r="O174" s="64">
        <f t="shared" si="92"/>
        <v>45633</v>
      </c>
      <c r="P174" s="64">
        <f t="shared" si="92"/>
        <v>57809</v>
      </c>
      <c r="Q174" s="64">
        <f t="shared" si="92"/>
        <v>79518</v>
      </c>
      <c r="R174" s="64">
        <f t="shared" si="92"/>
        <v>96587</v>
      </c>
      <c r="S174" s="64">
        <f t="shared" si="92"/>
        <v>120797.67879727043</v>
      </c>
      <c r="T174" s="64">
        <f t="shared" si="92"/>
        <v>148560.70218191599</v>
      </c>
      <c r="U174" s="64">
        <f t="shared" si="92"/>
        <v>175981.42823293834</v>
      </c>
      <c r="V174" s="64">
        <f t="shared" si="92"/>
        <v>202637.885953324</v>
      </c>
      <c r="W174" s="64">
        <f t="shared" si="92"/>
        <v>228313.16523250623</v>
      </c>
      <c r="X174" s="64">
        <f t="shared" si="92"/>
        <v>255336.82442353197</v>
      </c>
      <c r="Y174" s="64">
        <f t="shared" si="92"/>
        <v>283964.92779420159</v>
      </c>
      <c r="Z174" s="64">
        <f t="shared" si="92"/>
        <v>315348.8589976927</v>
      </c>
      <c r="AA174" s="64">
        <f t="shared" si="92"/>
        <v>350171.6727790889</v>
      </c>
      <c r="AB174" s="64">
        <f t="shared" si="92"/>
        <v>388493.52544609306</v>
      </c>
      <c r="AC174" s="64">
        <f t="shared" si="92"/>
        <v>429832.52062023518</v>
      </c>
    </row>
    <row r="175" spans="2:29" x14ac:dyDescent="0.2">
      <c r="B175" t="s">
        <v>376</v>
      </c>
      <c r="D175" s="64"/>
      <c r="E175" s="64">
        <f t="shared" ref="E175:Q175" si="93">+E156</f>
        <v>606</v>
      </c>
      <c r="F175" s="64">
        <f t="shared" si="93"/>
        <v>1235</v>
      </c>
      <c r="G175" s="64">
        <f t="shared" si="93"/>
        <v>1362</v>
      </c>
      <c r="H175" s="64">
        <f t="shared" si="93"/>
        <v>1831</v>
      </c>
      <c r="I175" s="64">
        <f t="shared" si="93"/>
        <v>2523</v>
      </c>
      <c r="J175" s="64">
        <f t="shared" si="93"/>
        <v>4491</v>
      </c>
      <c r="K175" s="64">
        <f t="shared" si="93"/>
        <v>6733</v>
      </c>
      <c r="L175" s="64">
        <f t="shared" si="93"/>
        <v>13915</v>
      </c>
      <c r="M175" s="64">
        <f t="shared" si="93"/>
        <v>15102</v>
      </c>
      <c r="N175" s="64">
        <f t="shared" si="93"/>
        <v>15115</v>
      </c>
      <c r="O175" s="64">
        <f t="shared" si="93"/>
        <v>18567</v>
      </c>
      <c r="P175" s="64">
        <f t="shared" si="93"/>
        <v>31431</v>
      </c>
      <c r="Q175" s="64">
        <f t="shared" si="93"/>
        <v>27266</v>
      </c>
      <c r="R175" s="64">
        <f t="shared" ref="R175:AC176" si="94">+R156</f>
        <v>37974.480794708994</v>
      </c>
      <c r="S175" s="64">
        <f t="shared" si="94"/>
        <v>44690.035124061753</v>
      </c>
      <c r="T175" s="64">
        <f t="shared" si="94"/>
        <v>46892.070582236709</v>
      </c>
      <c r="U175" s="64">
        <f t="shared" si="94"/>
        <v>48963.26584627245</v>
      </c>
      <c r="V175" s="64">
        <f t="shared" si="94"/>
        <v>50889.393716643266</v>
      </c>
      <c r="W175" s="64">
        <f t="shared" si="94"/>
        <v>55162.079674675697</v>
      </c>
      <c r="X175" s="64">
        <f t="shared" si="94"/>
        <v>59666.026876570315</v>
      </c>
      <c r="Y175" s="64">
        <f t="shared" si="94"/>
        <v>64415.577321885321</v>
      </c>
      <c r="Z175" s="64">
        <f t="shared" si="94"/>
        <v>69425.922419986528</v>
      </c>
      <c r="AA175" s="64">
        <f t="shared" si="94"/>
        <v>74713.154087655872</v>
      </c>
      <c r="AB175" s="64">
        <f t="shared" si="94"/>
        <v>80294.318905436681</v>
      </c>
      <c r="AC175" s="64">
        <f t="shared" si="94"/>
        <v>86187.475516159626</v>
      </c>
    </row>
    <row r="176" spans="2:29" x14ac:dyDescent="0.2">
      <c r="B176" t="s">
        <v>377</v>
      </c>
      <c r="D176" s="64"/>
      <c r="E176" s="64">
        <f t="shared" ref="E176:Q176" si="95">+E157</f>
        <v>0</v>
      </c>
      <c r="F176" s="64">
        <f t="shared" si="95"/>
        <v>0</v>
      </c>
      <c r="G176" s="64">
        <f t="shared" si="95"/>
        <v>0</v>
      </c>
      <c r="H176" s="64">
        <f t="shared" si="95"/>
        <v>0</v>
      </c>
      <c r="I176" s="64">
        <f t="shared" si="95"/>
        <v>0</v>
      </c>
      <c r="J176" s="64">
        <f t="shared" si="95"/>
        <v>0</v>
      </c>
      <c r="K176" s="64">
        <f t="shared" si="95"/>
        <v>0</v>
      </c>
      <c r="L176" s="64">
        <f t="shared" si="95"/>
        <v>0</v>
      </c>
      <c r="M176" s="64">
        <f t="shared" si="95"/>
        <v>0</v>
      </c>
      <c r="N176" s="64">
        <f t="shared" si="95"/>
        <v>0</v>
      </c>
      <c r="O176" s="64">
        <f t="shared" si="95"/>
        <v>0</v>
      </c>
      <c r="P176" s="64">
        <f t="shared" si="95"/>
        <v>-245</v>
      </c>
      <c r="Q176" s="64">
        <f t="shared" si="95"/>
        <v>-221</v>
      </c>
      <c r="R176" s="64">
        <f t="shared" si="94"/>
        <v>0</v>
      </c>
      <c r="S176" s="64">
        <f t="shared" si="94"/>
        <v>0</v>
      </c>
      <c r="T176" s="64">
        <f t="shared" si="94"/>
        <v>0</v>
      </c>
      <c r="U176" s="64">
        <f t="shared" si="94"/>
        <v>0</v>
      </c>
      <c r="V176" s="64">
        <f t="shared" si="94"/>
        <v>0</v>
      </c>
      <c r="W176" s="64">
        <f t="shared" si="94"/>
        <v>0</v>
      </c>
      <c r="X176" s="64">
        <f t="shared" si="94"/>
        <v>0</v>
      </c>
      <c r="Y176" s="64">
        <f t="shared" si="94"/>
        <v>0</v>
      </c>
      <c r="Z176" s="64">
        <f t="shared" si="94"/>
        <v>0</v>
      </c>
      <c r="AA176" s="64">
        <f t="shared" si="94"/>
        <v>0</v>
      </c>
      <c r="AB176" s="64">
        <f t="shared" si="94"/>
        <v>0</v>
      </c>
      <c r="AC176" s="64">
        <f t="shared" si="94"/>
        <v>0</v>
      </c>
    </row>
    <row r="177" spans="2:29" x14ac:dyDescent="0.2">
      <c r="B177" t="s">
        <v>396</v>
      </c>
      <c r="D177" s="64"/>
      <c r="E177" s="64">
        <f t="shared" ref="E177:AC177" si="96">+-E165</f>
        <v>-323</v>
      </c>
      <c r="F177" s="64">
        <f t="shared" si="96"/>
        <v>-649</v>
      </c>
      <c r="G177" s="64">
        <f t="shared" si="96"/>
        <v>-866</v>
      </c>
      <c r="H177" s="64">
        <f t="shared" si="96"/>
        <v>-924</v>
      </c>
      <c r="I177" s="64">
        <f t="shared" si="96"/>
        <v>-1215</v>
      </c>
      <c r="J177" s="64">
        <f t="shared" si="96"/>
        <v>-1591</v>
      </c>
      <c r="K177" s="64">
        <f t="shared" si="96"/>
        <v>-2333</v>
      </c>
      <c r="L177" s="64">
        <f t="shared" si="96"/>
        <v>-3675</v>
      </c>
      <c r="M177" s="64">
        <f t="shared" si="96"/>
        <v>-5179</v>
      </c>
      <c r="N177" s="64">
        <f t="shared" si="96"/>
        <v>-6389</v>
      </c>
      <c r="O177" s="64">
        <f t="shared" si="96"/>
        <v>-7560</v>
      </c>
      <c r="P177" s="64">
        <f t="shared" si="96"/>
        <v>-8501</v>
      </c>
      <c r="Q177" s="64">
        <f t="shared" si="96"/>
        <v>-11017</v>
      </c>
      <c r="R177" s="64">
        <f t="shared" si="96"/>
        <v>-15299.789803690475</v>
      </c>
      <c r="S177" s="64">
        <f t="shared" si="96"/>
        <v>-19158.820321336323</v>
      </c>
      <c r="T177" s="64">
        <f t="shared" si="96"/>
        <v>-22583.903570036186</v>
      </c>
      <c r="U177" s="64">
        <f t="shared" si="96"/>
        <v>-26482.426414517206</v>
      </c>
      <c r="V177" s="64">
        <f t="shared" si="96"/>
        <v>-30668.202311097491</v>
      </c>
      <c r="W177" s="64">
        <f t="shared" si="96"/>
        <v>-35094.907177884801</v>
      </c>
      <c r="X177" s="64">
        <f t="shared" si="96"/>
        <v>-39679.938531613145</v>
      </c>
      <c r="Y177" s="64">
        <f t="shared" si="96"/>
        <v>-43529.591840528803</v>
      </c>
      <c r="Z177" s="64">
        <f t="shared" si="96"/>
        <v>-47013.308512702359</v>
      </c>
      <c r="AA177" s="64">
        <f t="shared" si="96"/>
        <v>-50710.759791994082</v>
      </c>
      <c r="AB177" s="64">
        <f t="shared" si="96"/>
        <v>-55194.240810998155</v>
      </c>
      <c r="AC177" s="64">
        <f t="shared" si="96"/>
        <v>-60114.17065352152</v>
      </c>
    </row>
    <row r="178" spans="2:29" ht="13.5" x14ac:dyDescent="0.35">
      <c r="B178" t="s">
        <v>33</v>
      </c>
      <c r="D178" s="65"/>
      <c r="E178" s="65">
        <f t="shared" ref="E178:AC178" si="97">+E179-SUM(E174:E177)</f>
        <v>618</v>
      </c>
      <c r="F178" s="65">
        <f t="shared" si="97"/>
        <v>330</v>
      </c>
      <c r="G178" s="65">
        <f t="shared" si="97"/>
        <v>-5</v>
      </c>
      <c r="H178" s="65">
        <f t="shared" si="97"/>
        <v>178</v>
      </c>
      <c r="I178" s="65">
        <f t="shared" si="97"/>
        <v>412</v>
      </c>
      <c r="J178" s="65">
        <f t="shared" si="97"/>
        <v>4</v>
      </c>
      <c r="K178" s="65">
        <f t="shared" si="97"/>
        <v>730</v>
      </c>
      <c r="L178" s="65">
        <f t="shared" si="97"/>
        <v>722</v>
      </c>
      <c r="M178" s="65">
        <f t="shared" si="97"/>
        <v>717</v>
      </c>
      <c r="N178" s="65">
        <f t="shared" si="97"/>
        <v>1584</v>
      </c>
      <c r="O178" s="65">
        <f t="shared" si="97"/>
        <v>1169</v>
      </c>
      <c r="P178" s="65">
        <f t="shared" si="97"/>
        <v>-976</v>
      </c>
      <c r="Q178" s="65">
        <f t="shared" si="97"/>
        <v>1041</v>
      </c>
      <c r="R178" s="65">
        <f t="shared" si="97"/>
        <v>1535.9878062519128</v>
      </c>
      <c r="S178" s="65">
        <f t="shared" si="97"/>
        <v>2231.8085819201369</v>
      </c>
      <c r="T178" s="65">
        <f t="shared" si="97"/>
        <v>3112.5590388218407</v>
      </c>
      <c r="U178" s="65">
        <f t="shared" si="97"/>
        <v>4175.6182886304159</v>
      </c>
      <c r="V178" s="65">
        <f t="shared" si="97"/>
        <v>5454.0878736364539</v>
      </c>
      <c r="W178" s="65">
        <f t="shared" si="97"/>
        <v>6956.4866942348308</v>
      </c>
      <c r="X178" s="65">
        <f t="shared" si="97"/>
        <v>8642.0150257124333</v>
      </c>
      <c r="Y178" s="65">
        <f t="shared" si="97"/>
        <v>10497.945722134609</v>
      </c>
      <c r="Z178" s="65">
        <f t="shared" si="97"/>
        <v>12410.199874112033</v>
      </c>
      <c r="AA178" s="65">
        <f t="shared" si="97"/>
        <v>14319.458371342334</v>
      </c>
      <c r="AB178" s="65">
        <f t="shared" si="97"/>
        <v>16238.917079703591</v>
      </c>
      <c r="AC178" s="65">
        <f t="shared" si="97"/>
        <v>18245.106492717518</v>
      </c>
    </row>
    <row r="179" spans="2:29" s="44" customFormat="1" x14ac:dyDescent="0.2">
      <c r="B179" s="110" t="s">
        <v>399</v>
      </c>
      <c r="D179" s="111"/>
      <c r="E179" s="111">
        <f t="shared" ref="E179:AC179" si="98">+E172</f>
        <v>1475</v>
      </c>
      <c r="F179" s="111">
        <f t="shared" si="98"/>
        <v>2391</v>
      </c>
      <c r="G179" s="111">
        <f t="shared" si="98"/>
        <v>2882</v>
      </c>
      <c r="H179" s="111">
        <f t="shared" si="98"/>
        <v>3967</v>
      </c>
      <c r="I179" s="111">
        <f t="shared" si="98"/>
        <v>5687</v>
      </c>
      <c r="J179" s="111">
        <f t="shared" si="98"/>
        <v>8591</v>
      </c>
      <c r="K179" s="111">
        <f t="shared" si="98"/>
        <v>13721</v>
      </c>
      <c r="L179" s="111">
        <f t="shared" si="98"/>
        <v>24683</v>
      </c>
      <c r="M179" s="111">
        <f t="shared" si="98"/>
        <v>35323</v>
      </c>
      <c r="N179" s="111">
        <f t="shared" si="98"/>
        <v>45633</v>
      </c>
      <c r="O179" s="111">
        <f t="shared" si="98"/>
        <v>57809</v>
      </c>
      <c r="P179" s="111">
        <f t="shared" si="98"/>
        <v>79518</v>
      </c>
      <c r="Q179" s="111">
        <f t="shared" si="98"/>
        <v>96587</v>
      </c>
      <c r="R179" s="111">
        <f t="shared" si="98"/>
        <v>120797.67879727043</v>
      </c>
      <c r="S179" s="111">
        <f t="shared" si="98"/>
        <v>148560.70218191599</v>
      </c>
      <c r="T179" s="111">
        <f t="shared" si="98"/>
        <v>175981.42823293834</v>
      </c>
      <c r="U179" s="111">
        <f t="shared" si="98"/>
        <v>202637.885953324</v>
      </c>
      <c r="V179" s="111">
        <f t="shared" si="98"/>
        <v>228313.16523250623</v>
      </c>
      <c r="W179" s="111">
        <f t="shared" si="98"/>
        <v>255336.82442353197</v>
      </c>
      <c r="X179" s="111">
        <f t="shared" si="98"/>
        <v>283964.92779420159</v>
      </c>
      <c r="Y179" s="111">
        <f t="shared" si="98"/>
        <v>315348.8589976927</v>
      </c>
      <c r="Z179" s="111">
        <f t="shared" si="98"/>
        <v>350171.6727790889</v>
      </c>
      <c r="AA179" s="111">
        <f t="shared" si="98"/>
        <v>388493.52544609306</v>
      </c>
      <c r="AB179" s="111">
        <f t="shared" si="98"/>
        <v>429832.52062023518</v>
      </c>
      <c r="AC179" s="111">
        <f t="shared" si="98"/>
        <v>474150.93197559076</v>
      </c>
    </row>
    <row r="180" spans="2:29" s="44" customFormat="1" x14ac:dyDescent="0.2">
      <c r="B180" s="110"/>
      <c r="D180" s="111"/>
      <c r="E180" s="111"/>
      <c r="F180" s="111"/>
      <c r="G180" s="111"/>
      <c r="H180" s="111"/>
      <c r="I180" s="111"/>
      <c r="J180" s="111"/>
      <c r="K180" s="111"/>
      <c r="L180" s="111"/>
      <c r="M180" s="111"/>
      <c r="N180" s="111"/>
      <c r="O180" s="111"/>
      <c r="P180" s="111"/>
      <c r="Q180" s="111"/>
    </row>
    <row r="181" spans="2:29" s="44" customFormat="1" x14ac:dyDescent="0.2">
      <c r="B181" s="54" t="s">
        <v>529</v>
      </c>
      <c r="D181" s="111"/>
      <c r="E181" s="111"/>
      <c r="F181" s="111"/>
      <c r="G181" s="111"/>
      <c r="H181" s="111"/>
      <c r="I181" s="111"/>
      <c r="J181" s="111"/>
      <c r="K181" s="111"/>
      <c r="L181" s="111"/>
      <c r="M181" s="111"/>
      <c r="N181" s="111"/>
      <c r="O181" s="111"/>
      <c r="P181" s="111"/>
      <c r="Q181" s="111"/>
    </row>
    <row r="182" spans="2:29" s="44" customFormat="1" x14ac:dyDescent="0.2">
      <c r="B182" t="s">
        <v>401</v>
      </c>
      <c r="D182" s="83">
        <v>0</v>
      </c>
      <c r="E182" s="83">
        <v>0</v>
      </c>
      <c r="F182" s="83">
        <v>0</v>
      </c>
      <c r="G182" s="83">
        <v>0</v>
      </c>
      <c r="H182" s="83">
        <v>0</v>
      </c>
      <c r="I182" s="83">
        <v>0</v>
      </c>
      <c r="J182" s="83">
        <v>0</v>
      </c>
      <c r="K182" s="83">
        <v>0</v>
      </c>
      <c r="L182" s="83">
        <v>0</v>
      </c>
      <c r="M182" s="83">
        <v>0</v>
      </c>
      <c r="N182" s="83">
        <v>0</v>
      </c>
      <c r="O182" s="83">
        <v>0</v>
      </c>
      <c r="P182" s="83">
        <v>0</v>
      </c>
      <c r="Q182" s="83">
        <v>0</v>
      </c>
    </row>
    <row r="183" spans="2:29" s="44" customFormat="1" x14ac:dyDescent="0.2">
      <c r="B183" t="s">
        <v>405</v>
      </c>
      <c r="D183" s="207" t="s">
        <v>410</v>
      </c>
      <c r="E183" s="207" t="s">
        <v>410</v>
      </c>
      <c r="F183" s="207" t="s">
        <v>410</v>
      </c>
      <c r="G183" s="207" t="s">
        <v>403</v>
      </c>
      <c r="H183" s="207" t="s">
        <v>403</v>
      </c>
      <c r="I183" s="207" t="s">
        <v>403</v>
      </c>
      <c r="J183" s="207" t="s">
        <v>415</v>
      </c>
      <c r="K183" s="207" t="s">
        <v>416</v>
      </c>
      <c r="L183" s="207" t="s">
        <v>415</v>
      </c>
      <c r="M183" s="207" t="s">
        <v>416</v>
      </c>
      <c r="N183" s="207" t="s">
        <v>416</v>
      </c>
      <c r="O183" s="207">
        <v>4</v>
      </c>
      <c r="P183" s="207" t="s">
        <v>404</v>
      </c>
      <c r="Q183" s="207" t="s">
        <v>404</v>
      </c>
    </row>
    <row r="184" spans="2:29" s="44" customFormat="1" x14ac:dyDescent="0.2">
      <c r="B184" t="s">
        <v>402</v>
      </c>
      <c r="D184" s="207" t="s">
        <v>412</v>
      </c>
      <c r="E184" s="207" t="s">
        <v>412</v>
      </c>
      <c r="F184" s="207" t="s">
        <v>412</v>
      </c>
      <c r="G184" s="207" t="s">
        <v>412</v>
      </c>
      <c r="H184" s="207" t="s">
        <v>413</v>
      </c>
      <c r="I184" s="207" t="s">
        <v>414</v>
      </c>
      <c r="J184" s="207" t="s">
        <v>414</v>
      </c>
      <c r="K184" s="207" t="s">
        <v>414</v>
      </c>
      <c r="L184" s="207" t="s">
        <v>414</v>
      </c>
      <c r="M184" s="207" t="s">
        <v>414</v>
      </c>
      <c r="N184" s="207" t="s">
        <v>414</v>
      </c>
      <c r="O184" s="207" t="s">
        <v>417</v>
      </c>
      <c r="P184" s="207" t="s">
        <v>417</v>
      </c>
      <c r="Q184" s="207" t="s">
        <v>417</v>
      </c>
    </row>
    <row r="185" spans="2:29" s="44" customFormat="1" x14ac:dyDescent="0.2">
      <c r="B185" t="s">
        <v>407</v>
      </c>
      <c r="D185" s="207" t="s">
        <v>411</v>
      </c>
      <c r="E185" s="207" t="s">
        <v>411</v>
      </c>
      <c r="F185" s="207" t="s">
        <v>411</v>
      </c>
      <c r="G185" s="207" t="s">
        <v>403</v>
      </c>
      <c r="H185" s="207" t="s">
        <v>403</v>
      </c>
      <c r="I185" s="207" t="s">
        <v>403</v>
      </c>
      <c r="J185" s="207" t="s">
        <v>403</v>
      </c>
      <c r="K185" s="207" t="s">
        <v>411</v>
      </c>
      <c r="L185" s="207" t="s">
        <v>411</v>
      </c>
      <c r="M185" s="207" t="s">
        <v>411</v>
      </c>
      <c r="N185" s="207" t="s">
        <v>411</v>
      </c>
      <c r="O185" s="207" t="s">
        <v>418</v>
      </c>
      <c r="P185" s="207" t="s">
        <v>418</v>
      </c>
      <c r="Q185" s="207" t="s">
        <v>418</v>
      </c>
    </row>
    <row r="186" spans="2:29" s="44" customFormat="1" x14ac:dyDescent="0.2">
      <c r="B186" t="s">
        <v>408</v>
      </c>
      <c r="D186" s="207" t="s">
        <v>127</v>
      </c>
      <c r="E186" s="207" t="s">
        <v>127</v>
      </c>
      <c r="F186" s="207" t="s">
        <v>127</v>
      </c>
      <c r="G186" s="207" t="s">
        <v>127</v>
      </c>
      <c r="H186" s="207" t="s">
        <v>127</v>
      </c>
      <c r="I186" s="207" t="s">
        <v>127</v>
      </c>
      <c r="J186" s="207" t="s">
        <v>127</v>
      </c>
      <c r="K186" s="207" t="s">
        <v>127</v>
      </c>
      <c r="L186" s="207" t="s">
        <v>127</v>
      </c>
      <c r="M186" s="207" t="s">
        <v>416</v>
      </c>
      <c r="N186" s="207" t="s">
        <v>416</v>
      </c>
      <c r="O186" s="207" t="s">
        <v>416</v>
      </c>
      <c r="P186" s="207" t="s">
        <v>416</v>
      </c>
      <c r="Q186" s="207" t="s">
        <v>416</v>
      </c>
    </row>
    <row r="188" spans="2:29" x14ac:dyDescent="0.2">
      <c r="B188" s="60" t="s">
        <v>419</v>
      </c>
      <c r="O188" s="209" t="s">
        <v>420</v>
      </c>
      <c r="P188" s="208" t="s">
        <v>421</v>
      </c>
    </row>
    <row r="189" spans="2:29" x14ac:dyDescent="0.2">
      <c r="P189" s="208" t="s">
        <v>422</v>
      </c>
    </row>
    <row r="190" spans="2:29" x14ac:dyDescent="0.2">
      <c r="B190" s="54" t="s">
        <v>530</v>
      </c>
    </row>
    <row r="191" spans="2:29" x14ac:dyDescent="0.2">
      <c r="B191" t="s">
        <v>531</v>
      </c>
      <c r="G191" s="270">
        <f t="shared" ref="G191:AC191" si="99">+G152/G165</f>
        <v>4.7829099307159355</v>
      </c>
      <c r="H191" s="270">
        <f t="shared" si="99"/>
        <v>6.2597402597402594</v>
      </c>
      <c r="I191" s="270">
        <f t="shared" si="99"/>
        <v>6.435390946502058</v>
      </c>
      <c r="J191" s="270">
        <f t="shared" si="99"/>
        <v>7.4186046511627906</v>
      </c>
      <c r="K191" s="270">
        <f t="shared" si="99"/>
        <v>7.8598371195885131</v>
      </c>
      <c r="L191" s="270">
        <f t="shared" si="99"/>
        <v>8.5912925170068029</v>
      </c>
      <c r="M191" s="270">
        <f t="shared" si="99"/>
        <v>8.8793203321104457</v>
      </c>
      <c r="N191" s="270">
        <f t="shared" si="99"/>
        <v>9.5556425105650344</v>
      </c>
      <c r="O191" s="270">
        <f t="shared" si="99"/>
        <v>10.302777777777777</v>
      </c>
      <c r="P191" s="270">
        <f t="shared" si="99"/>
        <v>12.29184801788025</v>
      </c>
      <c r="Q191" s="270">
        <f t="shared" si="99"/>
        <v>11.774621040210583</v>
      </c>
      <c r="R191" s="270">
        <f t="shared" si="99"/>
        <v>10.813207251416257</v>
      </c>
      <c r="S191" s="270">
        <f t="shared" si="99"/>
        <v>10.817630867224958</v>
      </c>
      <c r="T191" s="270">
        <f t="shared" si="99"/>
        <v>11.093797392080852</v>
      </c>
      <c r="U191" s="270">
        <f t="shared" si="99"/>
        <v>11.14504837840245</v>
      </c>
      <c r="V191" s="270">
        <f t="shared" si="99"/>
        <v>11.115913083706808</v>
      </c>
      <c r="W191" s="270">
        <f t="shared" si="99"/>
        <v>11.116691223022071</v>
      </c>
      <c r="X191" s="270">
        <f t="shared" si="99"/>
        <v>11.164867334778272</v>
      </c>
      <c r="Y191" s="270">
        <f t="shared" si="99"/>
        <v>11.480311007927625</v>
      </c>
      <c r="Z191" s="270">
        <f t="shared" si="99"/>
        <v>11.921506242113152</v>
      </c>
      <c r="AA191" s="270">
        <f t="shared" si="99"/>
        <v>12.333413236545878</v>
      </c>
      <c r="AB191" s="270">
        <f t="shared" si="99"/>
        <v>12.589275932442758</v>
      </c>
      <c r="AC191" s="270">
        <f t="shared" si="99"/>
        <v>12.79166531288323</v>
      </c>
    </row>
    <row r="192" spans="2:29" x14ac:dyDescent="0.2">
      <c r="B192" t="s">
        <v>532</v>
      </c>
      <c r="G192" s="270">
        <f t="shared" ref="G192:AC192" si="100">+G153/G165</f>
        <v>4.3475750577367203</v>
      </c>
      <c r="H192" s="270">
        <f t="shared" si="100"/>
        <v>5.4610389610389607</v>
      </c>
      <c r="I192" s="270">
        <f t="shared" si="100"/>
        <v>5.9234567901234572</v>
      </c>
      <c r="J192" s="270">
        <f t="shared" si="100"/>
        <v>6.2306725329981143</v>
      </c>
      <c r="K192" s="270">
        <f t="shared" si="100"/>
        <v>6.5773681954564935</v>
      </c>
      <c r="L192" s="270">
        <f t="shared" si="100"/>
        <v>6.6244897959183673</v>
      </c>
      <c r="M192" s="270">
        <f t="shared" si="100"/>
        <v>6.9293299864838769</v>
      </c>
      <c r="N192" s="270">
        <f t="shared" si="100"/>
        <v>7.788855845985287</v>
      </c>
      <c r="O192" s="270">
        <f t="shared" si="100"/>
        <v>8.3600529100529108</v>
      </c>
      <c r="P192" s="270">
        <f t="shared" si="100"/>
        <v>9.3449005999294208</v>
      </c>
      <c r="Q192" s="270">
        <f t="shared" si="100"/>
        <v>9.5717527457565588</v>
      </c>
      <c r="R192" s="270">
        <f t="shared" si="100"/>
        <v>9.1262059483691775</v>
      </c>
      <c r="S192" s="270">
        <f t="shared" si="100"/>
        <v>9.2706941028560124</v>
      </c>
      <c r="T192" s="270">
        <f t="shared" si="100"/>
        <v>9.5257765500694287</v>
      </c>
      <c r="U192" s="270">
        <f t="shared" si="100"/>
        <v>9.6395659912221561</v>
      </c>
      <c r="V192" s="270">
        <f t="shared" si="100"/>
        <v>9.7144399251978477</v>
      </c>
      <c r="W192" s="270">
        <f t="shared" si="100"/>
        <v>9.8317358605384531</v>
      </c>
      <c r="X192" s="270">
        <f t="shared" si="100"/>
        <v>10.002044432017179</v>
      </c>
      <c r="Y192" s="270">
        <f t="shared" si="100"/>
        <v>10.422535924212768</v>
      </c>
      <c r="Z192" s="270">
        <f t="shared" si="100"/>
        <v>10.96998950153683</v>
      </c>
      <c r="AA192" s="270">
        <f t="shared" si="100"/>
        <v>11.502522212233378</v>
      </c>
      <c r="AB192" s="270">
        <f t="shared" si="100"/>
        <v>11.897675117466472</v>
      </c>
      <c r="AC192" s="270">
        <f t="shared" si="100"/>
        <v>12.246571053966109</v>
      </c>
    </row>
    <row r="193" spans="2:29" x14ac:dyDescent="0.2">
      <c r="B193" t="s">
        <v>533</v>
      </c>
      <c r="G193" s="270">
        <f t="shared" ref="G193:AC193" si="101">+G172/G165</f>
        <v>3.3279445727482679</v>
      </c>
      <c r="H193" s="270">
        <f t="shared" si="101"/>
        <v>4.2932900432900434</v>
      </c>
      <c r="I193" s="270">
        <f t="shared" si="101"/>
        <v>4.6806584362139914</v>
      </c>
      <c r="J193" s="270">
        <f t="shared" si="101"/>
        <v>5.3997485857950975</v>
      </c>
      <c r="K193" s="270">
        <f t="shared" si="101"/>
        <v>5.8812687526789542</v>
      </c>
      <c r="L193" s="270">
        <f t="shared" si="101"/>
        <v>6.7164625850340132</v>
      </c>
      <c r="M193" s="270">
        <f t="shared" si="101"/>
        <v>6.8204286541803434</v>
      </c>
      <c r="N193" s="270">
        <f t="shared" si="101"/>
        <v>7.1424323055251211</v>
      </c>
      <c r="O193" s="270">
        <f t="shared" si="101"/>
        <v>7.6466931216931213</v>
      </c>
      <c r="P193" s="270">
        <f t="shared" si="101"/>
        <v>9.3539583578402539</v>
      </c>
      <c r="Q193" s="270">
        <f t="shared" si="101"/>
        <v>8.7670872288281743</v>
      </c>
      <c r="R193" s="270">
        <f t="shared" si="101"/>
        <v>7.8953815932904332</v>
      </c>
      <c r="S193" s="270">
        <f t="shared" si="101"/>
        <v>7.7541675160693773</v>
      </c>
      <c r="T193" s="270">
        <f t="shared" si="101"/>
        <v>7.792338808354927</v>
      </c>
      <c r="U193" s="270">
        <f t="shared" si="101"/>
        <v>7.6517869919291623</v>
      </c>
      <c r="V193" s="270">
        <f t="shared" si="101"/>
        <v>7.444621726324324</v>
      </c>
      <c r="W193" s="270">
        <f t="shared" si="101"/>
        <v>7.2756090543084131</v>
      </c>
      <c r="X193" s="270">
        <f t="shared" si="101"/>
        <v>7.1563852743361922</v>
      </c>
      <c r="Y193" s="270">
        <f t="shared" si="101"/>
        <v>7.2444708453269477</v>
      </c>
      <c r="Z193" s="270">
        <f t="shared" si="101"/>
        <v>7.4483520487497126</v>
      </c>
      <c r="AA193" s="270">
        <f t="shared" si="101"/>
        <v>7.660968343594531</v>
      </c>
      <c r="AB193" s="270">
        <f t="shared" si="101"/>
        <v>7.7876335339426497</v>
      </c>
      <c r="AC193" s="270">
        <f t="shared" si="101"/>
        <v>7.8875068360909797</v>
      </c>
    </row>
  </sheetData>
  <pageMargins left="0.3" right="0.3" top="0.3" bottom="0.3" header="0.3" footer="0.3"/>
  <pageSetup scale="53"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1DF15-4E02-426F-A00F-2AAF407B8AF3}">
  <sheetPr>
    <pageSetUpPr fitToPage="1"/>
  </sheetPr>
  <dimension ref="A1:AH261"/>
  <sheetViews>
    <sheetView view="pageBreakPreview" topLeftCell="A235" zoomScale="115" zoomScaleNormal="85" zoomScaleSheetLayoutView="115" workbookViewId="0">
      <selection activeCell="B262" sqref="A262:XFD268"/>
    </sheetView>
  </sheetViews>
  <sheetFormatPr defaultRowHeight="11.25" outlineLevelRow="1" outlineLevelCol="1" x14ac:dyDescent="0.2"/>
  <cols>
    <col min="1" max="1" width="2.6640625" style="253" customWidth="1"/>
    <col min="2" max="2" width="32.83203125" customWidth="1"/>
    <col min="3" max="3" width="2.6640625" customWidth="1"/>
    <col min="4" max="20" width="10.33203125" customWidth="1"/>
    <col min="21" max="21" width="9.1640625" hidden="1" customWidth="1" outlineLevel="1"/>
    <col min="22" max="22" width="10.33203125" customWidth="1" collapsed="1"/>
    <col min="23" max="33" width="10.33203125" customWidth="1"/>
  </cols>
  <sheetData>
    <row r="1" spans="1:32" x14ac:dyDescent="0.2">
      <c r="Q1" t="s">
        <v>485</v>
      </c>
      <c r="R1" t="s">
        <v>490</v>
      </c>
      <c r="S1" t="s">
        <v>491</v>
      </c>
      <c r="AC1" t="s">
        <v>508</v>
      </c>
      <c r="AD1" t="s">
        <v>509</v>
      </c>
    </row>
    <row r="2" spans="1:32" s="44" customFormat="1" x14ac:dyDescent="0.2">
      <c r="A2" s="254"/>
      <c r="B2" s="44" t="s">
        <v>327</v>
      </c>
      <c r="AC2" s="174"/>
      <c r="AD2" s="174">
        <f ca="1">+TODAY()</f>
        <v>45796</v>
      </c>
      <c r="AE2" s="174"/>
      <c r="AF2" s="174"/>
    </row>
    <row r="3" spans="1:32" s="46" customFormat="1" x14ac:dyDescent="0.2">
      <c r="A3" s="255"/>
      <c r="B3" s="46" t="s">
        <v>489</v>
      </c>
    </row>
    <row r="4" spans="1:32" x14ac:dyDescent="0.2">
      <c r="B4" s="76" t="s">
        <v>275</v>
      </c>
    </row>
    <row r="5" spans="1:32" x14ac:dyDescent="0.2">
      <c r="B5" s="76"/>
      <c r="D5" s="162" t="s">
        <v>276</v>
      </c>
      <c r="E5" s="163"/>
      <c r="F5" s="163"/>
      <c r="G5" s="163"/>
      <c r="H5" s="163"/>
      <c r="I5" s="163"/>
      <c r="J5" s="163"/>
      <c r="K5" s="163"/>
      <c r="L5" s="163"/>
      <c r="M5" s="163"/>
      <c r="N5" s="163"/>
      <c r="O5" s="163"/>
      <c r="P5" s="163"/>
      <c r="Q5" s="163"/>
      <c r="R5" s="163"/>
      <c r="S5" s="163"/>
      <c r="V5" s="162" t="s">
        <v>278</v>
      </c>
      <c r="W5" s="163"/>
      <c r="X5" s="163"/>
      <c r="Y5" s="163"/>
      <c r="Z5" s="163"/>
      <c r="AA5" s="163"/>
      <c r="AB5" s="163"/>
      <c r="AC5" s="163"/>
      <c r="AD5" s="163"/>
    </row>
    <row r="6" spans="1:32" ht="11.25" customHeight="1" x14ac:dyDescent="0.35">
      <c r="D6" s="51" t="s">
        <v>100</v>
      </c>
      <c r="E6" s="51" t="s">
        <v>101</v>
      </c>
      <c r="F6" s="51" t="s">
        <v>304</v>
      </c>
      <c r="G6" s="51" t="s">
        <v>320</v>
      </c>
      <c r="H6" s="51" t="s">
        <v>326</v>
      </c>
      <c r="I6" s="51" t="s">
        <v>329</v>
      </c>
      <c r="J6" s="51" t="s">
        <v>330</v>
      </c>
      <c r="K6" s="51" t="s">
        <v>333</v>
      </c>
      <c r="L6" s="51" t="s">
        <v>335</v>
      </c>
      <c r="M6" s="51" t="s">
        <v>350</v>
      </c>
      <c r="N6" s="51" t="s">
        <v>358</v>
      </c>
      <c r="O6" s="51" t="s">
        <v>359</v>
      </c>
      <c r="P6" s="51" t="s">
        <v>360</v>
      </c>
      <c r="Q6" s="51" t="s">
        <v>355</v>
      </c>
      <c r="R6" s="51" t="s">
        <v>352</v>
      </c>
      <c r="S6" s="51" t="s">
        <v>353</v>
      </c>
      <c r="V6" s="51" t="s">
        <v>4</v>
      </c>
      <c r="W6" s="51" t="s">
        <v>5</v>
      </c>
      <c r="X6" s="51" t="s">
        <v>6</v>
      </c>
      <c r="Y6" s="51" t="s">
        <v>321</v>
      </c>
      <c r="Z6" s="51" t="s">
        <v>306</v>
      </c>
      <c r="AA6" s="51" t="s">
        <v>357</v>
      </c>
      <c r="AB6" s="51" t="s">
        <v>7</v>
      </c>
      <c r="AC6" s="51" t="s">
        <v>8</v>
      </c>
      <c r="AD6" s="51" t="s">
        <v>9</v>
      </c>
      <c r="AE6" s="51"/>
      <c r="AF6" s="51"/>
    </row>
    <row r="8" spans="1:32" hidden="1" outlineLevel="1" x14ac:dyDescent="0.2">
      <c r="B8" s="52" t="s">
        <v>512</v>
      </c>
      <c r="C8" s="53"/>
    </row>
    <row r="9" spans="1:32" hidden="1" outlineLevel="1" x14ac:dyDescent="0.2"/>
    <row r="10" spans="1:32" collapsed="1" x14ac:dyDescent="0.2">
      <c r="B10" s="54" t="s">
        <v>391</v>
      </c>
    </row>
    <row r="11" spans="1:32" x14ac:dyDescent="0.2">
      <c r="B11" t="s">
        <v>494</v>
      </c>
      <c r="D11" s="81">
        <v>22580</v>
      </c>
      <c r="E11" s="81">
        <v>24085</v>
      </c>
      <c r="F11" s="81">
        <v>25050</v>
      </c>
      <c r="G11" s="81">
        <v>25584</v>
      </c>
      <c r="H11" s="81">
        <v>27094</v>
      </c>
      <c r="I11" s="81">
        <v>28996</v>
      </c>
      <c r="J11" s="81">
        <v>31438</v>
      </c>
      <c r="K11" s="81">
        <v>34330</v>
      </c>
      <c r="L11" s="81">
        <v>37282</v>
      </c>
      <c r="M11" s="81">
        <v>40824</v>
      </c>
      <c r="N11" s="81">
        <v>44662</v>
      </c>
      <c r="O11" s="81">
        <v>46838</v>
      </c>
      <c r="P11" s="81">
        <v>51882</v>
      </c>
      <c r="U11" s="81">
        <v>7998</v>
      </c>
      <c r="V11" s="81">
        <v>13017</v>
      </c>
      <c r="W11" s="81">
        <v>17004</v>
      </c>
      <c r="X11" s="81">
        <v>22003</v>
      </c>
      <c r="Y11" s="81">
        <v>25584</v>
      </c>
      <c r="Z11" s="81">
        <v>34330</v>
      </c>
      <c r="AA11" s="81">
        <v>46838</v>
      </c>
    </row>
    <row r="12" spans="1:32" ht="13.5" x14ac:dyDescent="0.35">
      <c r="B12" t="s">
        <v>495</v>
      </c>
      <c r="D12" s="65">
        <f t="shared" ref="D12:P12" si="0">+D13-D11</f>
        <v>41630</v>
      </c>
      <c r="E12" s="65">
        <f t="shared" si="0"/>
        <v>44559</v>
      </c>
      <c r="F12" s="65">
        <f t="shared" si="0"/>
        <v>47325</v>
      </c>
      <c r="G12" s="65">
        <f t="shared" si="0"/>
        <v>52305</v>
      </c>
      <c r="H12" s="65">
        <f t="shared" si="0"/>
        <v>55941</v>
      </c>
      <c r="I12" s="65">
        <f t="shared" si="0"/>
        <v>61026</v>
      </c>
      <c r="J12" s="65">
        <f t="shared" si="0"/>
        <v>65693</v>
      </c>
      <c r="K12" s="65">
        <f t="shared" si="0"/>
        <v>70163</v>
      </c>
      <c r="L12" s="65">
        <f t="shared" si="0"/>
        <v>73853</v>
      </c>
      <c r="M12" s="65">
        <f t="shared" si="0"/>
        <v>76078</v>
      </c>
      <c r="N12" s="65">
        <f t="shared" si="0"/>
        <v>77958</v>
      </c>
      <c r="O12" s="65">
        <f t="shared" si="0"/>
        <v>82883</v>
      </c>
      <c r="P12" s="65">
        <f t="shared" si="0"/>
        <v>82936</v>
      </c>
      <c r="U12" s="65">
        <f t="shared" ref="U12:AA12" si="1">+U13-U11</f>
        <v>10339</v>
      </c>
      <c r="V12" s="65">
        <f t="shared" si="1"/>
        <v>18556</v>
      </c>
      <c r="W12" s="65">
        <f t="shared" si="1"/>
        <v>28982</v>
      </c>
      <c r="X12" s="65">
        <f t="shared" si="1"/>
        <v>39048</v>
      </c>
      <c r="Y12" s="65">
        <f t="shared" si="1"/>
        <v>52305</v>
      </c>
      <c r="Z12" s="65">
        <f t="shared" si="1"/>
        <v>70163</v>
      </c>
      <c r="AA12" s="65">
        <f t="shared" si="1"/>
        <v>82883</v>
      </c>
    </row>
    <row r="13" spans="1:32" s="44" customFormat="1" x14ac:dyDescent="0.2">
      <c r="A13" s="254"/>
      <c r="B13" s="110" t="s">
        <v>391</v>
      </c>
      <c r="D13" s="113">
        <v>64210</v>
      </c>
      <c r="E13" s="113">
        <v>68644</v>
      </c>
      <c r="F13" s="113">
        <v>72375</v>
      </c>
      <c r="G13" s="113">
        <v>77889</v>
      </c>
      <c r="H13" s="113">
        <v>83035</v>
      </c>
      <c r="I13" s="113">
        <v>90022</v>
      </c>
      <c r="J13" s="113">
        <v>97131</v>
      </c>
      <c r="K13" s="113">
        <v>104493</v>
      </c>
      <c r="L13" s="113">
        <v>111135</v>
      </c>
      <c r="M13" s="113">
        <v>116902</v>
      </c>
      <c r="N13" s="113">
        <v>122620</v>
      </c>
      <c r="O13" s="113">
        <v>129721</v>
      </c>
      <c r="P13" s="113">
        <v>134818</v>
      </c>
      <c r="Q13" s="118">
        <f>+Q27</f>
        <v>142275</v>
      </c>
      <c r="R13" s="118">
        <f>+R27</f>
        <v>150462</v>
      </c>
      <c r="S13" s="118">
        <f>+S27</f>
        <v>163032.480794709</v>
      </c>
      <c r="T13" s="113"/>
      <c r="U13" s="113">
        <v>18337</v>
      </c>
      <c r="V13" s="113">
        <v>31573</v>
      </c>
      <c r="W13" s="113">
        <v>45986</v>
      </c>
      <c r="X13" s="113">
        <v>61051</v>
      </c>
      <c r="Y13" s="113">
        <v>77889</v>
      </c>
      <c r="Z13" s="113">
        <v>104493</v>
      </c>
      <c r="AA13" s="113">
        <v>129721</v>
      </c>
      <c r="AB13" s="111">
        <f>+S13</f>
        <v>163032.480794709</v>
      </c>
      <c r="AC13" s="118">
        <f>+AC27</f>
        <v>204287.42708987842</v>
      </c>
      <c r="AD13" s="118">
        <f>+AD27</f>
        <v>247189.5209083462</v>
      </c>
      <c r="AE13" s="118"/>
      <c r="AF13" s="118"/>
    </row>
    <row r="14" spans="1:32" s="44" customFormat="1" ht="13.5" x14ac:dyDescent="0.35">
      <c r="A14" s="254"/>
      <c r="B14" s="226" t="s">
        <v>535</v>
      </c>
      <c r="D14" s="82">
        <v>-12318</v>
      </c>
      <c r="E14" s="82">
        <v>-12593</v>
      </c>
      <c r="F14" s="82">
        <v>-13201</v>
      </c>
      <c r="G14" s="82">
        <v>-14687</v>
      </c>
      <c r="H14" s="82">
        <v>-17031</v>
      </c>
      <c r="I14" s="82">
        <v>-21100</v>
      </c>
      <c r="J14" s="82">
        <v>-23623</v>
      </c>
      <c r="K14" s="82">
        <v>-25052</v>
      </c>
      <c r="L14" s="82">
        <v>-25039</v>
      </c>
      <c r="M14" s="82">
        <v>-24843</v>
      </c>
      <c r="N14" s="82">
        <v>-22945</v>
      </c>
      <c r="O14" s="82">
        <v>-24269</v>
      </c>
      <c r="P14" s="82">
        <v>-22975</v>
      </c>
      <c r="Q14" s="72">
        <f>-Q16*Q13</f>
        <v>-25609.5</v>
      </c>
      <c r="R14" s="72">
        <f>-R16*R13</f>
        <v>-28587.78</v>
      </c>
      <c r="S14" s="72">
        <f>-S16*S13</f>
        <v>-32606.496158941802</v>
      </c>
      <c r="T14" s="82"/>
      <c r="U14" s="82">
        <v>-2992</v>
      </c>
      <c r="V14" s="82">
        <v>-7228</v>
      </c>
      <c r="W14" s="82">
        <v>-10099</v>
      </c>
      <c r="X14" s="82">
        <v>-11288</v>
      </c>
      <c r="Y14" s="82">
        <v>-14687</v>
      </c>
      <c r="Z14" s="82">
        <v>-25052</v>
      </c>
      <c r="AA14" s="82">
        <v>-24269</v>
      </c>
      <c r="AB14" s="72">
        <f>+S14</f>
        <v>-32606.496158941802</v>
      </c>
      <c r="AC14" s="72">
        <f>-AC16*AC13</f>
        <v>-40857.485417975688</v>
      </c>
      <c r="AD14" s="72">
        <f>-AD16*AD13</f>
        <v>-46966.008972585776</v>
      </c>
      <c r="AE14" s="72"/>
      <c r="AF14" s="72"/>
    </row>
    <row r="15" spans="1:32" s="44" customFormat="1" x14ac:dyDescent="0.2">
      <c r="A15" s="254"/>
      <c r="B15" s="110" t="s">
        <v>541</v>
      </c>
      <c r="D15" s="118">
        <f t="shared" ref="D15:S15" si="2">+SUM(D13:D14)</f>
        <v>51892</v>
      </c>
      <c r="E15" s="118">
        <f t="shared" si="2"/>
        <v>56051</v>
      </c>
      <c r="F15" s="118">
        <f t="shared" si="2"/>
        <v>59174</v>
      </c>
      <c r="G15" s="118">
        <f t="shared" si="2"/>
        <v>63202</v>
      </c>
      <c r="H15" s="118">
        <f t="shared" si="2"/>
        <v>66004</v>
      </c>
      <c r="I15" s="118">
        <f t="shared" si="2"/>
        <v>68922</v>
      </c>
      <c r="J15" s="118">
        <f t="shared" si="2"/>
        <v>73508</v>
      </c>
      <c r="K15" s="118">
        <f t="shared" si="2"/>
        <v>79441</v>
      </c>
      <c r="L15" s="118">
        <f t="shared" si="2"/>
        <v>86096</v>
      </c>
      <c r="M15" s="118">
        <f t="shared" si="2"/>
        <v>92059</v>
      </c>
      <c r="N15" s="118">
        <f t="shared" si="2"/>
        <v>99675</v>
      </c>
      <c r="O15" s="118">
        <f t="shared" si="2"/>
        <v>105452</v>
      </c>
      <c r="P15" s="118">
        <f t="shared" si="2"/>
        <v>111843</v>
      </c>
      <c r="Q15" s="118">
        <f t="shared" si="2"/>
        <v>116665.5</v>
      </c>
      <c r="R15" s="118">
        <f t="shared" si="2"/>
        <v>121874.22</v>
      </c>
      <c r="S15" s="118">
        <f t="shared" si="2"/>
        <v>130425.98463576721</v>
      </c>
      <c r="T15" s="113"/>
      <c r="U15" s="118">
        <f t="shared" ref="U15:AA15" si="3">+SUM(U13:U14)</f>
        <v>15345</v>
      </c>
      <c r="V15" s="118">
        <f t="shared" si="3"/>
        <v>24345</v>
      </c>
      <c r="W15" s="118">
        <f t="shared" si="3"/>
        <v>35887</v>
      </c>
      <c r="X15" s="118">
        <f t="shared" si="3"/>
        <v>49763</v>
      </c>
      <c r="Y15" s="118">
        <f t="shared" si="3"/>
        <v>63202</v>
      </c>
      <c r="Z15" s="118">
        <f t="shared" si="3"/>
        <v>79441</v>
      </c>
      <c r="AA15" s="118">
        <f t="shared" si="3"/>
        <v>105452</v>
      </c>
      <c r="AB15" s="118">
        <f>+S15</f>
        <v>130425.98463576721</v>
      </c>
      <c r="AC15" s="118">
        <f>+SUM(AC13:AC14)</f>
        <v>163429.94167190272</v>
      </c>
      <c r="AD15" s="118">
        <f>+SUM(AD13:AD14)</f>
        <v>200223.51193576041</v>
      </c>
      <c r="AE15" s="118"/>
      <c r="AF15" s="118"/>
    </row>
    <row r="16" spans="1:32" s="44" customFormat="1" x14ac:dyDescent="0.2">
      <c r="A16" s="254"/>
      <c r="B16" s="101" t="s">
        <v>540</v>
      </c>
      <c r="D16" s="120">
        <f t="shared" ref="D16:P16" si="4">+-D14/D13</f>
        <v>0.19183927737112599</v>
      </c>
      <c r="E16" s="120">
        <f t="shared" si="4"/>
        <v>0.18345376143581377</v>
      </c>
      <c r="F16" s="120">
        <f t="shared" si="4"/>
        <v>0.18239723661485319</v>
      </c>
      <c r="G16" s="120">
        <f t="shared" si="4"/>
        <v>0.18856321175005455</v>
      </c>
      <c r="H16" s="120">
        <f t="shared" si="4"/>
        <v>0.20510628048413321</v>
      </c>
      <c r="I16" s="120">
        <f t="shared" si="4"/>
        <v>0.23438714980782474</v>
      </c>
      <c r="J16" s="120">
        <f t="shared" si="4"/>
        <v>0.24320762681327279</v>
      </c>
      <c r="K16" s="120">
        <f t="shared" si="4"/>
        <v>0.23974811709875302</v>
      </c>
      <c r="L16" s="120">
        <f t="shared" si="4"/>
        <v>0.22530255994961082</v>
      </c>
      <c r="M16" s="120">
        <f t="shared" si="4"/>
        <v>0.21251133427999522</v>
      </c>
      <c r="N16" s="120">
        <f t="shared" si="4"/>
        <v>0.18712281846354592</v>
      </c>
      <c r="O16" s="120">
        <f t="shared" si="4"/>
        <v>0.18708613100423216</v>
      </c>
      <c r="P16" s="120">
        <f t="shared" si="4"/>
        <v>0.17041492975715408</v>
      </c>
      <c r="Q16" s="138">
        <v>0.18</v>
      </c>
      <c r="R16" s="138">
        <v>0.19</v>
      </c>
      <c r="S16" s="138">
        <v>0.2</v>
      </c>
      <c r="T16" s="113"/>
      <c r="U16" s="118"/>
      <c r="V16" s="120">
        <f t="shared" ref="V16:AB16" si="5">+-V14/V13</f>
        <v>0.22892978177556772</v>
      </c>
      <c r="W16" s="120">
        <f t="shared" si="5"/>
        <v>0.21961031618318619</v>
      </c>
      <c r="X16" s="120">
        <f t="shared" si="5"/>
        <v>0.18489459632110858</v>
      </c>
      <c r="Y16" s="120">
        <f t="shared" si="5"/>
        <v>0.18856321175005455</v>
      </c>
      <c r="Z16" s="120">
        <f t="shared" si="5"/>
        <v>0.23974811709875302</v>
      </c>
      <c r="AA16" s="120">
        <f t="shared" si="5"/>
        <v>0.18708613100423216</v>
      </c>
      <c r="AB16" s="120">
        <f t="shared" si="5"/>
        <v>0.2</v>
      </c>
      <c r="AC16" s="138">
        <v>0.2</v>
      </c>
      <c r="AD16" s="138">
        <v>0.19</v>
      </c>
      <c r="AE16" s="138"/>
      <c r="AF16" s="138"/>
    </row>
    <row r="17" spans="1:34" s="44" customFormat="1" x14ac:dyDescent="0.2">
      <c r="A17" s="254"/>
      <c r="B17" s="101" t="s">
        <v>514</v>
      </c>
      <c r="D17" s="120">
        <f t="shared" ref="D17:P17" si="6">+IFERROR(D11/D13,"n/a")</f>
        <v>0.35165862015262422</v>
      </c>
      <c r="E17" s="120">
        <f t="shared" si="6"/>
        <v>0.35086824777110892</v>
      </c>
      <c r="F17" s="120">
        <f t="shared" si="6"/>
        <v>0.34611398963730572</v>
      </c>
      <c r="G17" s="120">
        <f t="shared" si="6"/>
        <v>0.32846743442591381</v>
      </c>
      <c r="H17" s="120">
        <f t="shared" si="6"/>
        <v>0.32629614018185105</v>
      </c>
      <c r="I17" s="120">
        <f t="shared" si="6"/>
        <v>0.32209904245628845</v>
      </c>
      <c r="J17" s="120">
        <f t="shared" si="6"/>
        <v>0.32366597687658932</v>
      </c>
      <c r="K17" s="120">
        <f t="shared" si="6"/>
        <v>0.32853875379212005</v>
      </c>
      <c r="L17" s="120">
        <f t="shared" si="6"/>
        <v>0.33546587483691004</v>
      </c>
      <c r="M17" s="120">
        <f t="shared" si="6"/>
        <v>0.34921558228259569</v>
      </c>
      <c r="N17" s="120">
        <f t="shared" si="6"/>
        <v>0.36423095742945688</v>
      </c>
      <c r="O17" s="120">
        <f t="shared" si="6"/>
        <v>0.36106721348124049</v>
      </c>
      <c r="P17" s="120">
        <f t="shared" si="6"/>
        <v>0.38482991885356554</v>
      </c>
      <c r="Q17" s="120"/>
      <c r="R17" s="120"/>
      <c r="S17" s="120"/>
      <c r="T17" s="113"/>
      <c r="U17" s="113"/>
      <c r="V17" s="120">
        <f t="shared" ref="V17:AA17" si="7">+IFERROR(V11/V13,"n/a")</f>
        <v>0.41228264656510311</v>
      </c>
      <c r="W17" s="120">
        <f t="shared" si="7"/>
        <v>0.36976471099899971</v>
      </c>
      <c r="X17" s="120">
        <f t="shared" si="7"/>
        <v>0.36040359699267827</v>
      </c>
      <c r="Y17" s="120">
        <f t="shared" si="7"/>
        <v>0.32846743442591381</v>
      </c>
      <c r="Z17" s="120">
        <f t="shared" si="7"/>
        <v>0.32853875379212005</v>
      </c>
      <c r="AA17" s="120">
        <f t="shared" si="7"/>
        <v>0.36106721348124049</v>
      </c>
      <c r="AB17" s="111"/>
      <c r="AC17" s="118"/>
      <c r="AD17" s="118"/>
      <c r="AE17" s="118"/>
      <c r="AF17" s="118"/>
    </row>
    <row r="18" spans="1:34" s="44" customFormat="1" x14ac:dyDescent="0.2">
      <c r="A18" s="254"/>
      <c r="B18" s="67"/>
      <c r="D18" s="120"/>
      <c r="E18" s="100"/>
      <c r="F18" s="100"/>
      <c r="G18" s="100"/>
      <c r="H18" s="100"/>
      <c r="I18" s="100"/>
      <c r="J18" s="100"/>
      <c r="K18" s="100"/>
      <c r="L18" s="100"/>
      <c r="M18" s="100"/>
      <c r="N18" s="100"/>
      <c r="O18" s="100"/>
      <c r="P18" s="100"/>
      <c r="Q18" s="100"/>
      <c r="R18" s="100"/>
      <c r="S18" s="100"/>
      <c r="T18" s="113"/>
      <c r="U18" s="120"/>
      <c r="V18" s="120"/>
      <c r="W18" s="120"/>
      <c r="X18" s="120"/>
      <c r="Y18" s="120"/>
      <c r="Z18" s="120"/>
      <c r="AA18" s="120"/>
      <c r="AB18" s="120"/>
      <c r="AC18" s="138"/>
      <c r="AD18" s="138"/>
      <c r="AE18" s="138"/>
      <c r="AF18" s="138"/>
    </row>
    <row r="19" spans="1:34" s="44" customFormat="1" x14ac:dyDescent="0.2">
      <c r="A19" s="254"/>
      <c r="B19" s="62" t="s">
        <v>17</v>
      </c>
      <c r="D19" s="120"/>
      <c r="E19" s="120"/>
      <c r="F19" s="120"/>
      <c r="G19" s="120"/>
      <c r="H19" s="120"/>
      <c r="I19" s="120"/>
      <c r="J19" s="120"/>
      <c r="K19" s="120"/>
      <c r="L19" s="120"/>
      <c r="M19" s="120"/>
      <c r="N19" s="120"/>
      <c r="O19" s="120"/>
      <c r="P19" s="120"/>
      <c r="Q19" s="138"/>
      <c r="R19" s="138"/>
      <c r="S19" s="138"/>
      <c r="T19" s="113"/>
      <c r="U19" s="120"/>
      <c r="V19" s="120"/>
      <c r="W19" s="120"/>
      <c r="X19" s="120"/>
      <c r="Y19" s="120"/>
      <c r="Z19" s="120"/>
      <c r="AA19" s="120"/>
      <c r="AB19" s="120"/>
      <c r="AC19" s="138"/>
      <c r="AD19" s="138"/>
      <c r="AE19" s="138"/>
      <c r="AF19" s="138"/>
    </row>
    <row r="20" spans="1:34" s="44" customFormat="1" x14ac:dyDescent="0.2">
      <c r="A20" s="254"/>
      <c r="B20" s="60" t="s">
        <v>392</v>
      </c>
      <c r="D20" s="120"/>
      <c r="E20" s="120"/>
      <c r="F20" s="120"/>
      <c r="G20" s="120"/>
      <c r="H20" s="120">
        <f>+IFERROR(H13/D13-1,"n/a")</f>
        <v>0.29317863261174271</v>
      </c>
      <c r="I20" s="120">
        <f t="shared" ref="I20:S20" si="8">+IFERROR(I27/E27-1,"n/a")</f>
        <v>0.31143290018064218</v>
      </c>
      <c r="J20" s="120">
        <f t="shared" si="8"/>
        <v>0.34205181347150249</v>
      </c>
      <c r="K20" s="120">
        <f t="shared" si="8"/>
        <v>0.34156299349073671</v>
      </c>
      <c r="L20" s="120">
        <f t="shared" si="8"/>
        <v>0.33841151321731799</v>
      </c>
      <c r="M20" s="120">
        <f t="shared" si="8"/>
        <v>0.29859367710115303</v>
      </c>
      <c r="N20" s="120">
        <f t="shared" si="8"/>
        <v>0.26241879523530076</v>
      </c>
      <c r="O20" s="120">
        <f t="shared" si="8"/>
        <v>0.24143244045055656</v>
      </c>
      <c r="P20" s="120">
        <f t="shared" si="8"/>
        <v>0.21310118324560223</v>
      </c>
      <c r="Q20" s="120">
        <f t="shared" si="8"/>
        <v>0.21704504627807908</v>
      </c>
      <c r="R20" s="120">
        <f t="shared" si="8"/>
        <v>0.22705920730712781</v>
      </c>
      <c r="S20" s="120">
        <f t="shared" si="8"/>
        <v>0.25679327784020312</v>
      </c>
      <c r="T20" s="113"/>
      <c r="U20" s="120"/>
      <c r="V20" s="120">
        <f t="shared" ref="V20:AD20" si="9">+IFERROR(V13/U13-1,"n/a")</f>
        <v>0.72181927250913458</v>
      </c>
      <c r="W20" s="120">
        <f t="shared" si="9"/>
        <v>0.45649764038893981</v>
      </c>
      <c r="X20" s="120">
        <f t="shared" si="9"/>
        <v>0.32759970425781759</v>
      </c>
      <c r="Y20" s="120">
        <f t="shared" si="9"/>
        <v>0.27580219816219231</v>
      </c>
      <c r="Z20" s="120">
        <f t="shared" si="9"/>
        <v>0.34156299349073671</v>
      </c>
      <c r="AA20" s="120">
        <f t="shared" si="9"/>
        <v>0.24143244045055656</v>
      </c>
      <c r="AB20" s="120">
        <f t="shared" si="9"/>
        <v>0.25679327784020312</v>
      </c>
      <c r="AC20" s="120">
        <f t="shared" si="9"/>
        <v>0.25304740560942429</v>
      </c>
      <c r="AD20" s="120">
        <f t="shared" si="9"/>
        <v>0.21000848867508881</v>
      </c>
      <c r="AE20" s="120"/>
      <c r="AF20" s="120"/>
    </row>
    <row r="21" spans="1:34" s="44" customFormat="1" x14ac:dyDescent="0.2">
      <c r="A21" s="254"/>
      <c r="B21" s="60" t="s">
        <v>534</v>
      </c>
      <c r="D21" s="120"/>
      <c r="E21" s="120"/>
      <c r="F21" s="120"/>
      <c r="G21" s="120"/>
      <c r="H21" s="120">
        <f t="shared" ref="H21:S21" si="10">+IFERROR(H15/D15-1,"n/a")</f>
        <v>0.27194943343868028</v>
      </c>
      <c r="I21" s="120">
        <f t="shared" si="10"/>
        <v>0.22963015824873767</v>
      </c>
      <c r="J21" s="120">
        <f t="shared" si="10"/>
        <v>0.24223476526853016</v>
      </c>
      <c r="K21" s="120">
        <f t="shared" si="10"/>
        <v>0.25693807158001336</v>
      </c>
      <c r="L21" s="120">
        <f t="shared" si="10"/>
        <v>0.30440579358826736</v>
      </c>
      <c r="M21" s="120">
        <f t="shared" si="10"/>
        <v>0.33569832564348112</v>
      </c>
      <c r="N21" s="120">
        <f t="shared" si="10"/>
        <v>0.35597485987919675</v>
      </c>
      <c r="O21" s="120">
        <f t="shared" si="10"/>
        <v>0.32742538487682693</v>
      </c>
      <c r="P21" s="120">
        <f t="shared" si="10"/>
        <v>0.29904989778851521</v>
      </c>
      <c r="Q21" s="120">
        <f t="shared" si="10"/>
        <v>0.2672905419350633</v>
      </c>
      <c r="R21" s="120">
        <f t="shared" si="10"/>
        <v>0.22271602708803617</v>
      </c>
      <c r="S21" s="120">
        <f t="shared" si="10"/>
        <v>0.23682798463535271</v>
      </c>
      <c r="T21" s="113"/>
      <c r="U21" s="120"/>
      <c r="V21" s="120">
        <f t="shared" ref="V21:AD21" si="11">+IFERROR(V15/U15-1,"n/a")</f>
        <v>0.58651026392961869</v>
      </c>
      <c r="W21" s="120">
        <f t="shared" si="11"/>
        <v>0.47410145820497029</v>
      </c>
      <c r="X21" s="120">
        <f t="shared" si="11"/>
        <v>0.38665812132527089</v>
      </c>
      <c r="Y21" s="120">
        <f t="shared" si="11"/>
        <v>0.2700600848019612</v>
      </c>
      <c r="Z21" s="120">
        <f t="shared" si="11"/>
        <v>0.25693807158001336</v>
      </c>
      <c r="AA21" s="120">
        <f t="shared" si="11"/>
        <v>0.32742538487682693</v>
      </c>
      <c r="AB21" s="120">
        <f t="shared" si="11"/>
        <v>0.23682798463535271</v>
      </c>
      <c r="AC21" s="120">
        <f t="shared" si="11"/>
        <v>0.25304740560942429</v>
      </c>
      <c r="AD21" s="120">
        <f t="shared" si="11"/>
        <v>0.22513359478352757</v>
      </c>
      <c r="AE21" s="120"/>
      <c r="AF21" s="120"/>
    </row>
    <row r="22" spans="1:34" s="44" customFormat="1" x14ac:dyDescent="0.2">
      <c r="A22" s="254"/>
      <c r="B22" s="101"/>
      <c r="D22" s="113"/>
      <c r="E22" s="113"/>
      <c r="F22" s="113"/>
      <c r="G22" s="113"/>
      <c r="H22" s="113"/>
      <c r="I22" s="113"/>
      <c r="J22" s="113"/>
      <c r="K22" s="113"/>
      <c r="L22" s="113"/>
      <c r="M22" s="113"/>
      <c r="N22" s="113"/>
      <c r="O22" s="113"/>
      <c r="P22" s="113"/>
      <c r="Q22" s="118"/>
      <c r="R22" s="118"/>
      <c r="S22" s="118"/>
      <c r="T22" s="113"/>
      <c r="U22" s="113"/>
      <c r="V22" s="113"/>
      <c r="W22" s="113"/>
      <c r="X22" s="113"/>
      <c r="Y22" s="113"/>
      <c r="Z22" s="113"/>
      <c r="AA22" s="113"/>
      <c r="AB22" s="111"/>
      <c r="AC22" s="118"/>
      <c r="AD22" s="118"/>
      <c r="AE22" s="118"/>
      <c r="AF22" s="118"/>
    </row>
    <row r="23" spans="1:34" s="44" customFormat="1" x14ac:dyDescent="0.2">
      <c r="A23" s="254"/>
      <c r="B23" s="89" t="s">
        <v>19</v>
      </c>
      <c r="D23" s="113"/>
      <c r="E23" s="113"/>
      <c r="F23" s="113"/>
      <c r="G23" s="113"/>
      <c r="H23" s="113"/>
      <c r="I23" s="113"/>
      <c r="J23" s="113"/>
      <c r="K23" s="113"/>
      <c r="L23" s="113"/>
      <c r="M23" s="113"/>
      <c r="N23" s="113"/>
      <c r="O23" s="113"/>
      <c r="P23" s="113"/>
      <c r="Q23" s="118"/>
      <c r="R23" s="118"/>
      <c r="S23" s="118"/>
      <c r="T23" s="113"/>
      <c r="U23" s="113"/>
      <c r="V23" s="113"/>
      <c r="W23" s="113"/>
      <c r="X23" s="113"/>
      <c r="Y23" s="113"/>
      <c r="Z23" s="113"/>
      <c r="AA23" s="113"/>
      <c r="AB23" s="111"/>
      <c r="AC23" s="118"/>
      <c r="AD23" s="118"/>
      <c r="AE23" s="118"/>
      <c r="AF23" s="118"/>
    </row>
    <row r="24" spans="1:34" s="44" customFormat="1" x14ac:dyDescent="0.2">
      <c r="A24" s="254"/>
      <c r="B24" s="101" t="s">
        <v>393</v>
      </c>
      <c r="D24" s="100">
        <f>+X13</f>
        <v>61051</v>
      </c>
      <c r="E24" s="100">
        <f t="shared" ref="E24:S24" si="12">+D27</f>
        <v>64210</v>
      </c>
      <c r="F24" s="100">
        <f t="shared" si="12"/>
        <v>68644</v>
      </c>
      <c r="G24" s="100">
        <f t="shared" si="12"/>
        <v>72375</v>
      </c>
      <c r="H24" s="100">
        <f t="shared" si="12"/>
        <v>77889</v>
      </c>
      <c r="I24" s="100">
        <f t="shared" si="12"/>
        <v>83035</v>
      </c>
      <c r="J24" s="100">
        <f t="shared" si="12"/>
        <v>90022</v>
      </c>
      <c r="K24" s="100">
        <f t="shared" si="12"/>
        <v>97131</v>
      </c>
      <c r="L24" s="100">
        <f t="shared" si="12"/>
        <v>104493</v>
      </c>
      <c r="M24" s="100">
        <f t="shared" si="12"/>
        <v>111135</v>
      </c>
      <c r="N24" s="100">
        <f t="shared" si="12"/>
        <v>116902</v>
      </c>
      <c r="O24" s="100">
        <f t="shared" si="12"/>
        <v>122620</v>
      </c>
      <c r="P24" s="100">
        <f t="shared" si="12"/>
        <v>129721</v>
      </c>
      <c r="Q24" s="100">
        <f t="shared" si="12"/>
        <v>134818</v>
      </c>
      <c r="R24" s="100">
        <f t="shared" si="12"/>
        <v>142275</v>
      </c>
      <c r="S24" s="100">
        <f t="shared" si="12"/>
        <v>150462</v>
      </c>
      <c r="T24" s="113"/>
      <c r="U24" s="113"/>
      <c r="V24" s="100">
        <f>+U13</f>
        <v>18337</v>
      </c>
      <c r="W24" s="100">
        <f t="shared" ref="W24:AD24" si="13">+V27</f>
        <v>31573</v>
      </c>
      <c r="X24" s="100">
        <f t="shared" si="13"/>
        <v>45986</v>
      </c>
      <c r="Y24" s="100">
        <f t="shared" si="13"/>
        <v>61051</v>
      </c>
      <c r="Z24" s="100">
        <f t="shared" si="13"/>
        <v>77889</v>
      </c>
      <c r="AA24" s="100">
        <f t="shared" si="13"/>
        <v>104493</v>
      </c>
      <c r="AB24" s="100">
        <f t="shared" si="13"/>
        <v>129721</v>
      </c>
      <c r="AC24" s="100">
        <f t="shared" si="13"/>
        <v>163032.480794709</v>
      </c>
      <c r="AD24" s="100">
        <f t="shared" si="13"/>
        <v>204287.42708987842</v>
      </c>
      <c r="AE24" s="100"/>
      <c r="AF24" s="100"/>
    </row>
    <row r="25" spans="1:34" s="44" customFormat="1" x14ac:dyDescent="0.2">
      <c r="A25" s="254"/>
      <c r="B25" s="101" t="s">
        <v>376</v>
      </c>
      <c r="D25" s="100">
        <f t="shared" ref="D25:S25" si="14">+D32</f>
        <v>4272</v>
      </c>
      <c r="E25" s="100">
        <f t="shared" si="14"/>
        <v>4612</v>
      </c>
      <c r="F25" s="100">
        <f t="shared" si="14"/>
        <v>4313</v>
      </c>
      <c r="G25" s="100">
        <f t="shared" si="14"/>
        <v>5370</v>
      </c>
      <c r="H25" s="100">
        <f t="shared" si="14"/>
        <v>5441</v>
      </c>
      <c r="I25" s="100">
        <f t="shared" si="14"/>
        <v>7572</v>
      </c>
      <c r="J25" s="100">
        <f t="shared" si="14"/>
        <v>9375</v>
      </c>
      <c r="K25" s="100">
        <f t="shared" si="14"/>
        <v>9043</v>
      </c>
      <c r="L25" s="100">
        <f t="shared" si="14"/>
        <v>6842</v>
      </c>
      <c r="M25" s="100">
        <f t="shared" si="14"/>
        <v>6216</v>
      </c>
      <c r="N25" s="100">
        <f t="shared" si="14"/>
        <v>6543</v>
      </c>
      <c r="O25" s="100">
        <f t="shared" si="14"/>
        <v>7665</v>
      </c>
      <c r="P25" s="100">
        <f t="shared" si="14"/>
        <v>6400</v>
      </c>
      <c r="Q25" s="100">
        <f t="shared" si="14"/>
        <v>8157</v>
      </c>
      <c r="R25" s="100">
        <f t="shared" si="14"/>
        <v>8887</v>
      </c>
      <c r="S25" s="100">
        <f t="shared" si="14"/>
        <v>13270.480794708994</v>
      </c>
      <c r="T25" s="113"/>
      <c r="U25" s="113"/>
      <c r="V25" s="100">
        <f t="shared" ref="V25:AD25" si="15">+V32</f>
        <v>13915</v>
      </c>
      <c r="W25" s="100">
        <f t="shared" si="15"/>
        <v>15102</v>
      </c>
      <c r="X25" s="100">
        <f t="shared" si="15"/>
        <v>15115</v>
      </c>
      <c r="Y25" s="100">
        <f t="shared" si="15"/>
        <v>18567</v>
      </c>
      <c r="Z25" s="100">
        <f t="shared" si="15"/>
        <v>31431</v>
      </c>
      <c r="AA25" s="100">
        <f t="shared" si="15"/>
        <v>27266</v>
      </c>
      <c r="AB25" s="100">
        <f t="shared" si="15"/>
        <v>36714.480794708994</v>
      </c>
      <c r="AC25" s="100">
        <f t="shared" si="15"/>
        <v>44754.946295169408</v>
      </c>
      <c r="AD25" s="100">
        <f t="shared" si="15"/>
        <v>46902.093818467787</v>
      </c>
      <c r="AE25" s="100"/>
      <c r="AF25" s="100"/>
    </row>
    <row r="26" spans="1:34" s="44" customFormat="1" ht="13.5" x14ac:dyDescent="0.35">
      <c r="A26" s="254"/>
      <c r="B26" s="101" t="s">
        <v>33</v>
      </c>
      <c r="D26" s="102">
        <f t="shared" ref="D26:P26" si="16">+D27-SUM(D24:D25)</f>
        <v>-1113</v>
      </c>
      <c r="E26" s="102">
        <f t="shared" si="16"/>
        <v>-178</v>
      </c>
      <c r="F26" s="102">
        <f t="shared" si="16"/>
        <v>-582</v>
      </c>
      <c r="G26" s="102">
        <f t="shared" si="16"/>
        <v>144</v>
      </c>
      <c r="H26" s="102">
        <f t="shared" si="16"/>
        <v>-295</v>
      </c>
      <c r="I26" s="102">
        <f t="shared" si="16"/>
        <v>-585</v>
      </c>
      <c r="J26" s="102">
        <f t="shared" si="16"/>
        <v>-2266</v>
      </c>
      <c r="K26" s="102">
        <f t="shared" si="16"/>
        <v>-1681</v>
      </c>
      <c r="L26" s="102">
        <f t="shared" si="16"/>
        <v>-200</v>
      </c>
      <c r="M26" s="102">
        <f t="shared" si="16"/>
        <v>-449</v>
      </c>
      <c r="N26" s="102">
        <f t="shared" si="16"/>
        <v>-825</v>
      </c>
      <c r="O26" s="102">
        <f t="shared" si="16"/>
        <v>-564</v>
      </c>
      <c r="P26" s="102">
        <f t="shared" si="16"/>
        <v>-1303</v>
      </c>
      <c r="Q26" s="103">
        <v>-700</v>
      </c>
      <c r="R26" s="103">
        <v>-700</v>
      </c>
      <c r="S26" s="103">
        <v>-700</v>
      </c>
      <c r="T26" s="113"/>
      <c r="U26" s="113"/>
      <c r="V26" s="102">
        <f t="shared" ref="V26:AB26" si="17">+V27-SUM(V24:V25)</f>
        <v>-679</v>
      </c>
      <c r="W26" s="102">
        <f t="shared" si="17"/>
        <v>-689</v>
      </c>
      <c r="X26" s="102">
        <f t="shared" si="17"/>
        <v>-50</v>
      </c>
      <c r="Y26" s="102">
        <f t="shared" si="17"/>
        <v>-1729</v>
      </c>
      <c r="Z26" s="102">
        <f t="shared" si="17"/>
        <v>-4827</v>
      </c>
      <c r="AA26" s="102">
        <f t="shared" si="17"/>
        <v>-2038</v>
      </c>
      <c r="AB26" s="102">
        <f t="shared" si="17"/>
        <v>-3403</v>
      </c>
      <c r="AC26" s="103">
        <v>-3500</v>
      </c>
      <c r="AD26" s="103">
        <v>-4000</v>
      </c>
      <c r="AE26" s="103"/>
      <c r="AF26" s="103"/>
    </row>
    <row r="27" spans="1:34" s="44" customFormat="1" x14ac:dyDescent="0.2">
      <c r="A27" s="254"/>
      <c r="B27" s="67" t="s">
        <v>392</v>
      </c>
      <c r="D27" s="100">
        <f t="shared" ref="D27:P27" si="18">+D13</f>
        <v>64210</v>
      </c>
      <c r="E27" s="100">
        <f t="shared" si="18"/>
        <v>68644</v>
      </c>
      <c r="F27" s="100">
        <f t="shared" si="18"/>
        <v>72375</v>
      </c>
      <c r="G27" s="100">
        <f t="shared" si="18"/>
        <v>77889</v>
      </c>
      <c r="H27" s="100">
        <f t="shared" si="18"/>
        <v>83035</v>
      </c>
      <c r="I27" s="100">
        <f t="shared" si="18"/>
        <v>90022</v>
      </c>
      <c r="J27" s="100">
        <f t="shared" si="18"/>
        <v>97131</v>
      </c>
      <c r="K27" s="100">
        <f t="shared" si="18"/>
        <v>104493</v>
      </c>
      <c r="L27" s="100">
        <f t="shared" si="18"/>
        <v>111135</v>
      </c>
      <c r="M27" s="100">
        <f t="shared" si="18"/>
        <v>116902</v>
      </c>
      <c r="N27" s="100">
        <f t="shared" si="18"/>
        <v>122620</v>
      </c>
      <c r="O27" s="100">
        <f t="shared" si="18"/>
        <v>129721</v>
      </c>
      <c r="P27" s="100">
        <f t="shared" si="18"/>
        <v>134818</v>
      </c>
      <c r="Q27" s="100">
        <f>SUM(Q24:Q26)</f>
        <v>142275</v>
      </c>
      <c r="R27" s="100">
        <f>SUM(R24:R26)</f>
        <v>150462</v>
      </c>
      <c r="S27" s="100">
        <f>SUM(S24:S26)</f>
        <v>163032.480794709</v>
      </c>
      <c r="T27" s="113"/>
      <c r="U27" s="100">
        <f t="shared" ref="U27:AB27" si="19">+U13</f>
        <v>18337</v>
      </c>
      <c r="V27" s="100">
        <f t="shared" si="19"/>
        <v>31573</v>
      </c>
      <c r="W27" s="100">
        <f t="shared" si="19"/>
        <v>45986</v>
      </c>
      <c r="X27" s="100">
        <f t="shared" si="19"/>
        <v>61051</v>
      </c>
      <c r="Y27" s="100">
        <f t="shared" si="19"/>
        <v>77889</v>
      </c>
      <c r="Z27" s="100">
        <f t="shared" si="19"/>
        <v>104493</v>
      </c>
      <c r="AA27" s="100">
        <f t="shared" si="19"/>
        <v>129721</v>
      </c>
      <c r="AB27" s="100">
        <f t="shared" si="19"/>
        <v>163032.480794709</v>
      </c>
      <c r="AC27" s="100">
        <f>SUM(AC24:AC26)</f>
        <v>204287.42708987842</v>
      </c>
      <c r="AD27" s="100">
        <f>SUM(AD24:AD26)</f>
        <v>247189.5209083462</v>
      </c>
      <c r="AE27" s="100"/>
      <c r="AF27" s="100"/>
    </row>
    <row r="28" spans="1:34" s="44" customFormat="1" x14ac:dyDescent="0.2">
      <c r="A28" s="254"/>
      <c r="B28" s="67"/>
      <c r="D28" s="100"/>
      <c r="E28" s="100"/>
      <c r="F28" s="100"/>
      <c r="G28" s="100"/>
      <c r="H28" s="100"/>
      <c r="I28" s="100"/>
      <c r="J28" s="100"/>
      <c r="K28" s="100"/>
      <c r="L28" s="100"/>
      <c r="M28" s="100"/>
      <c r="N28" s="100"/>
      <c r="O28" s="100"/>
      <c r="P28" s="100"/>
      <c r="Q28" s="100"/>
      <c r="R28" s="100"/>
      <c r="S28" s="100"/>
      <c r="T28" s="113"/>
      <c r="U28" s="100"/>
      <c r="V28" s="100"/>
      <c r="W28" s="100"/>
      <c r="X28" s="100"/>
      <c r="Y28" s="100"/>
      <c r="Z28" s="100"/>
      <c r="AA28" s="100"/>
      <c r="AB28" s="100"/>
      <c r="AC28" s="100"/>
      <c r="AD28" s="100"/>
      <c r="AE28" s="100"/>
      <c r="AF28" s="100"/>
    </row>
    <row r="29" spans="1:34" x14ac:dyDescent="0.2">
      <c r="B29" s="54" t="s">
        <v>29</v>
      </c>
    </row>
    <row r="30" spans="1:34" x14ac:dyDescent="0.2">
      <c r="B30" t="s">
        <v>496</v>
      </c>
      <c r="D30" s="83" t="s">
        <v>127</v>
      </c>
      <c r="E30" s="83" t="s">
        <v>127</v>
      </c>
      <c r="F30" s="83" t="s">
        <v>127</v>
      </c>
      <c r="G30" s="83" t="s">
        <v>127</v>
      </c>
      <c r="H30" s="83" t="s">
        <v>127</v>
      </c>
      <c r="I30" s="83" t="s">
        <v>127</v>
      </c>
      <c r="J30" s="83" t="s">
        <v>127</v>
      </c>
      <c r="K30" s="83" t="s">
        <v>127</v>
      </c>
      <c r="L30" s="83" t="s">
        <v>127</v>
      </c>
      <c r="M30" s="83" t="s">
        <v>127</v>
      </c>
      <c r="N30" s="83" t="s">
        <v>127</v>
      </c>
      <c r="O30" s="83" t="s">
        <v>127</v>
      </c>
      <c r="P30" s="83" t="s">
        <v>127</v>
      </c>
      <c r="V30" s="83" t="s">
        <v>127</v>
      </c>
      <c r="W30" s="83" t="s">
        <v>127</v>
      </c>
      <c r="X30" s="83" t="s">
        <v>127</v>
      </c>
      <c r="Y30" s="83" t="s">
        <v>127</v>
      </c>
      <c r="Z30" s="83" t="s">
        <v>127</v>
      </c>
      <c r="AA30" s="83" t="s">
        <v>127</v>
      </c>
    </row>
    <row r="31" spans="1:34" ht="13.5" x14ac:dyDescent="0.35">
      <c r="B31" t="s">
        <v>497</v>
      </c>
      <c r="D31" s="85" t="s">
        <v>127</v>
      </c>
      <c r="E31" s="85" t="s">
        <v>127</v>
      </c>
      <c r="F31" s="85" t="s">
        <v>127</v>
      </c>
      <c r="G31" s="85" t="s">
        <v>127</v>
      </c>
      <c r="H31" s="85" t="s">
        <v>127</v>
      </c>
      <c r="I31" s="85" t="s">
        <v>127</v>
      </c>
      <c r="J31" s="85" t="s">
        <v>127</v>
      </c>
      <c r="K31" s="85" t="s">
        <v>127</v>
      </c>
      <c r="L31" s="85" t="s">
        <v>127</v>
      </c>
      <c r="M31" s="85" t="s">
        <v>127</v>
      </c>
      <c r="N31" s="85" t="s">
        <v>127</v>
      </c>
      <c r="O31" s="85" t="s">
        <v>127</v>
      </c>
      <c r="P31" s="85" t="s">
        <v>127</v>
      </c>
      <c r="V31" s="85" t="s">
        <v>127</v>
      </c>
      <c r="W31" s="85" t="s">
        <v>127</v>
      </c>
      <c r="X31" s="85" t="s">
        <v>127</v>
      </c>
      <c r="Y31" s="85" t="s">
        <v>127</v>
      </c>
      <c r="Z31" s="85" t="s">
        <v>127</v>
      </c>
      <c r="AA31" s="85" t="s">
        <v>127</v>
      </c>
      <c r="AH31" s="272"/>
    </row>
    <row r="32" spans="1:34" s="44" customFormat="1" x14ac:dyDescent="0.2">
      <c r="A32" s="254"/>
      <c r="B32" s="110" t="s">
        <v>498</v>
      </c>
      <c r="D32" s="113">
        <v>4272</v>
      </c>
      <c r="E32" s="113">
        <v>4612</v>
      </c>
      <c r="F32" s="113">
        <v>4313</v>
      </c>
      <c r="G32" s="113">
        <v>5370</v>
      </c>
      <c r="H32" s="113">
        <v>5441</v>
      </c>
      <c r="I32" s="113">
        <v>7572</v>
      </c>
      <c r="J32" s="113">
        <v>9375</v>
      </c>
      <c r="K32" s="113">
        <v>9043</v>
      </c>
      <c r="L32" s="113">
        <v>6842</v>
      </c>
      <c r="M32" s="113">
        <v>6216</v>
      </c>
      <c r="N32" s="113">
        <v>6543</v>
      </c>
      <c r="O32" s="113">
        <v>7665</v>
      </c>
      <c r="P32" s="113">
        <v>6400</v>
      </c>
      <c r="Q32" s="259">
        <f>+Q36+P32-P36</f>
        <v>8157</v>
      </c>
      <c r="R32" s="259">
        <f>+R36+Q32-Q36</f>
        <v>8887</v>
      </c>
      <c r="S32" s="259">
        <f>+S36+R32-R36</f>
        <v>13270.480794708994</v>
      </c>
      <c r="V32" s="113">
        <v>13915</v>
      </c>
      <c r="W32" s="113">
        <v>15102</v>
      </c>
      <c r="X32" s="113">
        <v>15115</v>
      </c>
      <c r="Y32" s="113">
        <v>18567</v>
      </c>
      <c r="Z32" s="113">
        <v>31431</v>
      </c>
      <c r="AA32" s="113">
        <v>27266</v>
      </c>
      <c r="AB32" s="111">
        <f>+SUM(P32:S32)</f>
        <v>36714.480794708994</v>
      </c>
      <c r="AC32" s="259">
        <f>+AC36+AB32-AB36</f>
        <v>44754.946295169408</v>
      </c>
      <c r="AD32" s="259">
        <f>+AD36+AC32-AC36</f>
        <v>46902.093818467787</v>
      </c>
      <c r="AE32" s="259"/>
      <c r="AF32" s="259"/>
    </row>
    <row r="33" spans="1:34" s="44" customFormat="1" ht="13.5" x14ac:dyDescent="0.35">
      <c r="A33" s="254"/>
      <c r="B33" s="226" t="s">
        <v>538</v>
      </c>
      <c r="D33" s="72">
        <f t="shared" ref="D33:S33" si="20">+D34-D32</f>
        <v>-2143</v>
      </c>
      <c r="E33" s="72">
        <f t="shared" si="20"/>
        <v>-453</v>
      </c>
      <c r="F33" s="72">
        <f t="shared" si="20"/>
        <v>-1190</v>
      </c>
      <c r="G33" s="72">
        <f t="shared" si="20"/>
        <v>-1342</v>
      </c>
      <c r="H33" s="72">
        <f t="shared" si="20"/>
        <v>-2639</v>
      </c>
      <c r="I33" s="72">
        <f t="shared" si="20"/>
        <v>-4654</v>
      </c>
      <c r="J33" s="72">
        <f t="shared" si="20"/>
        <v>-4789</v>
      </c>
      <c r="K33" s="72">
        <f t="shared" si="20"/>
        <v>-3110</v>
      </c>
      <c r="L33" s="72">
        <f t="shared" si="20"/>
        <v>-187</v>
      </c>
      <c r="M33" s="72">
        <f t="shared" si="20"/>
        <v>-253</v>
      </c>
      <c r="N33" s="72">
        <f t="shared" si="20"/>
        <v>1073</v>
      </c>
      <c r="O33" s="72">
        <f t="shared" si="20"/>
        <v>-1888</v>
      </c>
      <c r="P33" s="72">
        <f t="shared" si="20"/>
        <v>-9</v>
      </c>
      <c r="Q33" s="72">
        <f t="shared" si="20"/>
        <v>-3334.5</v>
      </c>
      <c r="R33" s="72">
        <f t="shared" si="20"/>
        <v>-3678.2799999999988</v>
      </c>
      <c r="S33" s="72">
        <f t="shared" si="20"/>
        <v>-4718.7161589417883</v>
      </c>
      <c r="V33" s="72">
        <f t="shared" ref="V33:AD33" si="21">+V34-V32</f>
        <v>-4915</v>
      </c>
      <c r="W33" s="72">
        <f t="shared" si="21"/>
        <v>-3560</v>
      </c>
      <c r="X33" s="72">
        <f t="shared" si="21"/>
        <v>-1239</v>
      </c>
      <c r="Y33" s="72">
        <f t="shared" si="21"/>
        <v>-5128</v>
      </c>
      <c r="Z33" s="72">
        <f t="shared" si="21"/>
        <v>-15192</v>
      </c>
      <c r="AA33" s="72">
        <f t="shared" si="21"/>
        <v>-1255</v>
      </c>
      <c r="AB33" s="72">
        <f t="shared" si="21"/>
        <v>-11740.496158941787</v>
      </c>
      <c r="AC33" s="72">
        <f t="shared" si="21"/>
        <v>-11750.989259033893</v>
      </c>
      <c r="AD33" s="72">
        <f t="shared" si="21"/>
        <v>-10108.523554610096</v>
      </c>
      <c r="AE33" s="72"/>
      <c r="AF33" s="72"/>
    </row>
    <row r="34" spans="1:34" s="44" customFormat="1" x14ac:dyDescent="0.2">
      <c r="A34" s="254"/>
      <c r="B34" s="110" t="s">
        <v>375</v>
      </c>
      <c r="D34" s="118">
        <f>+D15-X15</f>
        <v>2129</v>
      </c>
      <c r="E34" s="118">
        <f t="shared" ref="E34:S34" si="22">+E15-D15</f>
        <v>4159</v>
      </c>
      <c r="F34" s="118">
        <f t="shared" si="22"/>
        <v>3123</v>
      </c>
      <c r="G34" s="118">
        <f t="shared" si="22"/>
        <v>4028</v>
      </c>
      <c r="H34" s="118">
        <f t="shared" si="22"/>
        <v>2802</v>
      </c>
      <c r="I34" s="118">
        <f t="shared" si="22"/>
        <v>2918</v>
      </c>
      <c r="J34" s="118">
        <f t="shared" si="22"/>
        <v>4586</v>
      </c>
      <c r="K34" s="118">
        <f t="shared" si="22"/>
        <v>5933</v>
      </c>
      <c r="L34" s="118">
        <f t="shared" si="22"/>
        <v>6655</v>
      </c>
      <c r="M34" s="118">
        <f t="shared" si="22"/>
        <v>5963</v>
      </c>
      <c r="N34" s="118">
        <f t="shared" si="22"/>
        <v>7616</v>
      </c>
      <c r="O34" s="118">
        <f t="shared" si="22"/>
        <v>5777</v>
      </c>
      <c r="P34" s="118">
        <f t="shared" si="22"/>
        <v>6391</v>
      </c>
      <c r="Q34" s="118">
        <f t="shared" si="22"/>
        <v>4822.5</v>
      </c>
      <c r="R34" s="118">
        <f t="shared" si="22"/>
        <v>5208.7200000000012</v>
      </c>
      <c r="S34" s="118">
        <f t="shared" si="22"/>
        <v>8551.7646357672056</v>
      </c>
      <c r="V34" s="118">
        <f t="shared" ref="V34:AD34" si="23">+V15-U15</f>
        <v>9000</v>
      </c>
      <c r="W34" s="118">
        <f t="shared" si="23"/>
        <v>11542</v>
      </c>
      <c r="X34" s="118">
        <f t="shared" si="23"/>
        <v>13876</v>
      </c>
      <c r="Y34" s="118">
        <f t="shared" si="23"/>
        <v>13439</v>
      </c>
      <c r="Z34" s="118">
        <f t="shared" si="23"/>
        <v>16239</v>
      </c>
      <c r="AA34" s="118">
        <f t="shared" si="23"/>
        <v>26011</v>
      </c>
      <c r="AB34" s="118">
        <f t="shared" si="23"/>
        <v>24973.984635767207</v>
      </c>
      <c r="AC34" s="118">
        <f t="shared" si="23"/>
        <v>33003.957036135514</v>
      </c>
      <c r="AD34" s="118">
        <f t="shared" si="23"/>
        <v>36793.570263857691</v>
      </c>
      <c r="AE34" s="118"/>
      <c r="AF34" s="118"/>
    </row>
    <row r="35" spans="1:34" s="44" customFormat="1" x14ac:dyDescent="0.2">
      <c r="A35" s="254"/>
      <c r="B35" s="101" t="s">
        <v>539</v>
      </c>
      <c r="D35" s="120">
        <f t="shared" ref="D35:S35" si="24">+D34/D32</f>
        <v>0.49836142322097376</v>
      </c>
      <c r="E35" s="120">
        <f t="shared" si="24"/>
        <v>0.9017779705117086</v>
      </c>
      <c r="F35" s="120">
        <f t="shared" si="24"/>
        <v>0.7240899605842801</v>
      </c>
      <c r="G35" s="120">
        <f t="shared" si="24"/>
        <v>0.75009310986964617</v>
      </c>
      <c r="H35" s="120">
        <f t="shared" si="24"/>
        <v>0.51497886417937877</v>
      </c>
      <c r="I35" s="120">
        <f t="shared" si="24"/>
        <v>0.38536714210248285</v>
      </c>
      <c r="J35" s="120">
        <f t="shared" si="24"/>
        <v>0.48917333333333335</v>
      </c>
      <c r="K35" s="120">
        <f t="shared" si="24"/>
        <v>0.65608758155479374</v>
      </c>
      <c r="L35" s="120">
        <f t="shared" si="24"/>
        <v>0.97266881028938912</v>
      </c>
      <c r="M35" s="120">
        <f t="shared" si="24"/>
        <v>0.95929858429858428</v>
      </c>
      <c r="N35" s="120">
        <f t="shared" si="24"/>
        <v>1.1639920525752714</v>
      </c>
      <c r="O35" s="120">
        <f t="shared" si="24"/>
        <v>0.75368558382257012</v>
      </c>
      <c r="P35" s="120">
        <f t="shared" si="24"/>
        <v>0.99859374999999995</v>
      </c>
      <c r="Q35" s="120">
        <f t="shared" si="24"/>
        <v>0.59121000367782273</v>
      </c>
      <c r="R35" s="120">
        <f t="shared" si="24"/>
        <v>0.58610554742882881</v>
      </c>
      <c r="S35" s="120">
        <f t="shared" si="24"/>
        <v>0.64442010565109564</v>
      </c>
      <c r="V35" s="120">
        <f t="shared" ref="V35:AD35" si="25">+V34/V32</f>
        <v>0.64678404599353212</v>
      </c>
      <c r="W35" s="120">
        <f t="shared" si="25"/>
        <v>0.76426963316117069</v>
      </c>
      <c r="X35" s="120">
        <f t="shared" si="25"/>
        <v>0.91802844856103205</v>
      </c>
      <c r="Y35" s="120">
        <f t="shared" si="25"/>
        <v>0.72381106263801365</v>
      </c>
      <c r="Z35" s="120">
        <f t="shared" si="25"/>
        <v>0.51665553116350105</v>
      </c>
      <c r="AA35" s="120">
        <f t="shared" si="25"/>
        <v>0.95397197975500625</v>
      </c>
      <c r="AB35" s="120">
        <f t="shared" si="25"/>
        <v>0.68022164811237817</v>
      </c>
      <c r="AC35" s="120">
        <f t="shared" si="25"/>
        <v>0.73743708278559084</v>
      </c>
      <c r="AD35" s="120">
        <f t="shared" si="25"/>
        <v>0.78447607064762115</v>
      </c>
      <c r="AE35" s="120"/>
      <c r="AF35" s="120"/>
    </row>
    <row r="36" spans="1:34" x14ac:dyDescent="0.2">
      <c r="B36" s="101" t="s">
        <v>506</v>
      </c>
      <c r="D36" s="115">
        <v>4423</v>
      </c>
      <c r="E36" s="115">
        <v>4735</v>
      </c>
      <c r="F36" s="115">
        <v>4544</v>
      </c>
      <c r="G36" s="115">
        <v>5542</v>
      </c>
      <c r="H36" s="115">
        <v>5548</v>
      </c>
      <c r="I36" s="115">
        <v>7747</v>
      </c>
      <c r="J36" s="115">
        <v>9518</v>
      </c>
      <c r="K36" s="115">
        <v>9223</v>
      </c>
      <c r="L36" s="115">
        <v>7087</v>
      </c>
      <c r="M36" s="115">
        <v>6354</v>
      </c>
      <c r="N36" s="115">
        <v>6763</v>
      </c>
      <c r="O36" s="115">
        <v>7899</v>
      </c>
      <c r="P36" s="115">
        <v>6715</v>
      </c>
      <c r="Q36" s="258">
        <f>-'Historical Financials'!BI90</f>
        <v>8472</v>
      </c>
      <c r="R36" s="258">
        <f>-'Historical Financials'!BJ90</f>
        <v>9202</v>
      </c>
      <c r="S36" s="258">
        <f>-'Historical Financials'!BK90</f>
        <v>13585.480794708994</v>
      </c>
      <c r="V36" s="115">
        <v>13914</v>
      </c>
      <c r="W36" s="115">
        <v>15654</v>
      </c>
      <c r="X36" s="115">
        <v>15718</v>
      </c>
      <c r="Y36" s="115">
        <v>19244</v>
      </c>
      <c r="Z36" s="115">
        <v>32036</v>
      </c>
      <c r="AA36" s="115">
        <v>28103</v>
      </c>
      <c r="AB36" s="95">
        <f>+SUM(P36:S36)</f>
        <v>37974.480794708994</v>
      </c>
      <c r="AC36" s="258">
        <f>'Simple Model - Case 1'!K41</f>
        <v>46014.946295169408</v>
      </c>
      <c r="AD36" s="258">
        <f>'Simple Model - Case 1'!L41</f>
        <v>48162.09381846778</v>
      </c>
      <c r="AE36" s="258"/>
      <c r="AF36" s="258"/>
    </row>
    <row r="37" spans="1:34" x14ac:dyDescent="0.2">
      <c r="B37" s="60"/>
      <c r="D37" s="115"/>
      <c r="E37" s="115"/>
      <c r="F37" s="115"/>
      <c r="G37" s="115"/>
      <c r="H37" s="115"/>
      <c r="I37" s="115"/>
      <c r="J37" s="115"/>
      <c r="K37" s="115"/>
      <c r="L37" s="115"/>
      <c r="M37" s="115"/>
      <c r="N37" s="115"/>
      <c r="O37" s="115"/>
      <c r="P37" s="115"/>
      <c r="Q37" s="258"/>
      <c r="R37" s="258"/>
      <c r="S37" s="258"/>
      <c r="V37" s="115"/>
      <c r="W37" s="115"/>
      <c r="X37" s="115"/>
      <c r="Y37" s="115"/>
      <c r="Z37" s="115"/>
      <c r="AA37" s="115"/>
      <c r="AB37" s="95"/>
      <c r="AC37" s="258"/>
      <c r="AD37" s="258"/>
      <c r="AE37" s="258"/>
      <c r="AF37" s="258"/>
    </row>
    <row r="38" spans="1:34" x14ac:dyDescent="0.2">
      <c r="B38" s="62" t="s">
        <v>17</v>
      </c>
      <c r="D38" s="120"/>
      <c r="E38" s="120"/>
      <c r="F38" s="120"/>
      <c r="G38" s="120"/>
      <c r="H38" s="120"/>
      <c r="I38" s="120"/>
      <c r="J38" s="120"/>
      <c r="K38" s="120"/>
      <c r="L38" s="120"/>
      <c r="M38" s="120"/>
      <c r="N38" s="120"/>
      <c r="O38" s="120"/>
      <c r="P38" s="120"/>
      <c r="Q38" s="120"/>
      <c r="R38" s="120"/>
      <c r="S38" s="120"/>
      <c r="V38" s="120"/>
      <c r="W38" s="120"/>
      <c r="X38" s="120"/>
      <c r="Y38" s="120"/>
      <c r="Z38" s="120"/>
      <c r="AA38" s="120"/>
      <c r="AB38" s="120"/>
      <c r="AC38" s="120"/>
      <c r="AD38" s="120"/>
      <c r="AE38" s="120"/>
      <c r="AF38" s="120"/>
    </row>
    <row r="39" spans="1:34" x14ac:dyDescent="0.2">
      <c r="B39" s="60" t="s">
        <v>376</v>
      </c>
      <c r="D39" s="120"/>
      <c r="E39" s="120"/>
      <c r="F39" s="120"/>
      <c r="G39" s="120"/>
      <c r="H39" s="120">
        <f t="shared" ref="H39:S39" si="26">+H32/D32-1</f>
        <v>0.27364232209737827</v>
      </c>
      <c r="I39" s="120">
        <f t="shared" si="26"/>
        <v>0.64180398959236773</v>
      </c>
      <c r="J39" s="120">
        <f t="shared" si="26"/>
        <v>1.1736610248087178</v>
      </c>
      <c r="K39" s="120">
        <f t="shared" si="26"/>
        <v>0.68398510242085653</v>
      </c>
      <c r="L39" s="120">
        <f t="shared" si="26"/>
        <v>0.25748943208968944</v>
      </c>
      <c r="M39" s="120">
        <f t="shared" si="26"/>
        <v>-0.17908082408874804</v>
      </c>
      <c r="N39" s="120">
        <f t="shared" si="26"/>
        <v>-0.30208000000000002</v>
      </c>
      <c r="O39" s="120">
        <f t="shared" si="26"/>
        <v>-0.15238305871945146</v>
      </c>
      <c r="P39" s="120">
        <f t="shared" si="26"/>
        <v>-6.4600993861444023E-2</v>
      </c>
      <c r="Q39" s="120">
        <f t="shared" si="26"/>
        <v>0.31225868725868722</v>
      </c>
      <c r="R39" s="120">
        <f t="shared" si="26"/>
        <v>0.35824545315604461</v>
      </c>
      <c r="S39" s="120">
        <f t="shared" si="26"/>
        <v>0.73130864901617665</v>
      </c>
      <c r="V39" s="120"/>
      <c r="W39" s="120">
        <f t="shared" ref="W39:AD39" si="27">+W32/V32-1</f>
        <v>8.5303629177146956E-2</v>
      </c>
      <c r="X39" s="120">
        <f t="shared" si="27"/>
        <v>8.6081313733288312E-4</v>
      </c>
      <c r="Y39" s="120">
        <f t="shared" si="27"/>
        <v>0.22838240158782663</v>
      </c>
      <c r="Z39" s="120">
        <f t="shared" si="27"/>
        <v>0.69284213927936666</v>
      </c>
      <c r="AA39" s="120">
        <f t="shared" si="27"/>
        <v>-0.13251248767140722</v>
      </c>
      <c r="AB39" s="120">
        <f t="shared" si="27"/>
        <v>0.34652977315004008</v>
      </c>
      <c r="AC39" s="120">
        <f t="shared" si="27"/>
        <v>0.21899984219902535</v>
      </c>
      <c r="AD39" s="120">
        <f t="shared" si="27"/>
        <v>4.7975647409728372E-2</v>
      </c>
      <c r="AE39" s="120"/>
      <c r="AF39" s="120"/>
    </row>
    <row r="40" spans="1:34" x14ac:dyDescent="0.2">
      <c r="B40" s="60" t="s">
        <v>375</v>
      </c>
      <c r="D40" s="120"/>
      <c r="E40" s="120"/>
      <c r="F40" s="120"/>
      <c r="G40" s="120"/>
      <c r="H40" s="120">
        <f t="shared" ref="H40:S40" si="28">+H34/D34-1</f>
        <v>0.31611085016439633</v>
      </c>
      <c r="I40" s="120">
        <f t="shared" si="28"/>
        <v>-0.29838903582591969</v>
      </c>
      <c r="J40" s="120">
        <f t="shared" si="28"/>
        <v>0.46845981428114003</v>
      </c>
      <c r="K40" s="120">
        <f t="shared" si="28"/>
        <v>0.47293942403177747</v>
      </c>
      <c r="L40" s="120">
        <f t="shared" si="28"/>
        <v>1.3750892219842967</v>
      </c>
      <c r="M40" s="120">
        <f t="shared" si="28"/>
        <v>1.0435229609321452</v>
      </c>
      <c r="N40" s="120">
        <f t="shared" si="28"/>
        <v>0.66070649803750547</v>
      </c>
      <c r="O40" s="120">
        <f t="shared" si="28"/>
        <v>-2.6293612000674149E-2</v>
      </c>
      <c r="P40" s="120">
        <f t="shared" si="28"/>
        <v>-3.9669421487603329E-2</v>
      </c>
      <c r="Q40" s="120">
        <f t="shared" si="28"/>
        <v>-0.19126278718765721</v>
      </c>
      <c r="R40" s="120">
        <f t="shared" si="28"/>
        <v>-0.31608193277310914</v>
      </c>
      <c r="S40" s="120">
        <f t="shared" si="28"/>
        <v>0.48031238285740097</v>
      </c>
      <c r="V40" s="120"/>
      <c r="W40" s="120">
        <f t="shared" ref="W40:AD40" si="29">+W34/V34-1</f>
        <v>0.2824444444444445</v>
      </c>
      <c r="X40" s="120">
        <f t="shared" si="29"/>
        <v>0.20221798648414491</v>
      </c>
      <c r="Y40" s="120">
        <f t="shared" si="29"/>
        <v>-3.1493225713462136E-2</v>
      </c>
      <c r="Z40" s="120">
        <f t="shared" si="29"/>
        <v>0.20834883547883032</v>
      </c>
      <c r="AA40" s="120">
        <f t="shared" si="29"/>
        <v>0.60176119219163748</v>
      </c>
      <c r="AB40" s="120">
        <f t="shared" si="29"/>
        <v>-3.9868338942477877E-2</v>
      </c>
      <c r="AC40" s="120">
        <f t="shared" si="29"/>
        <v>0.32153348844733221</v>
      </c>
      <c r="AD40" s="120">
        <f t="shared" si="29"/>
        <v>0.1148229960296272</v>
      </c>
      <c r="AE40" s="120"/>
      <c r="AF40" s="120"/>
    </row>
    <row r="41" spans="1:34" x14ac:dyDescent="0.2">
      <c r="B41" s="60"/>
      <c r="D41" s="120"/>
      <c r="E41" s="120"/>
      <c r="F41" s="120"/>
      <c r="G41" s="120"/>
      <c r="H41" s="120"/>
      <c r="I41" s="120"/>
      <c r="J41" s="120"/>
      <c r="K41" s="120"/>
      <c r="L41" s="120"/>
      <c r="M41" s="120"/>
      <c r="N41" s="120"/>
      <c r="O41" s="120"/>
      <c r="P41" s="120"/>
      <c r="Q41" s="120"/>
      <c r="R41" s="120"/>
      <c r="S41" s="120"/>
      <c r="V41" s="120"/>
      <c r="W41" s="120"/>
      <c r="X41" s="120"/>
      <c r="Y41" s="120"/>
      <c r="Z41" s="120"/>
      <c r="AA41" s="120"/>
      <c r="AB41" s="120"/>
      <c r="AC41" s="120"/>
      <c r="AD41" s="120"/>
      <c r="AE41" s="120"/>
      <c r="AF41" s="120"/>
    </row>
    <row r="42" spans="1:34" x14ac:dyDescent="0.2">
      <c r="B42" s="54" t="s">
        <v>380</v>
      </c>
    </row>
    <row r="43" spans="1:34" x14ac:dyDescent="0.2">
      <c r="B43" t="s">
        <v>500</v>
      </c>
      <c r="D43" s="83" t="s">
        <v>127</v>
      </c>
      <c r="E43" s="83" t="s">
        <v>127</v>
      </c>
      <c r="F43" s="83" t="s">
        <v>127</v>
      </c>
      <c r="G43" s="83" t="s">
        <v>127</v>
      </c>
      <c r="H43" s="81">
        <v>1360</v>
      </c>
      <c r="I43" s="81">
        <v>1200</v>
      </c>
      <c r="J43" s="81">
        <v>1360</v>
      </c>
      <c r="K43" s="80">
        <f>+Z43-SUM(H43:J43)</f>
        <v>1370</v>
      </c>
      <c r="L43" s="81">
        <v>1510</v>
      </c>
      <c r="M43" s="81">
        <v>1710</v>
      </c>
      <c r="N43" s="81">
        <v>1940</v>
      </c>
      <c r="O43" s="80">
        <f>+AA43-SUM(L43:N43)</f>
        <v>2160</v>
      </c>
      <c r="P43" s="81">
        <v>2350</v>
      </c>
      <c r="V43" s="83" t="s">
        <v>127</v>
      </c>
      <c r="W43" s="81">
        <v>3690</v>
      </c>
      <c r="X43" s="81">
        <v>4380</v>
      </c>
      <c r="Y43" s="81">
        <v>4940</v>
      </c>
      <c r="Z43" s="81">
        <v>5290</v>
      </c>
      <c r="AA43" s="81">
        <v>7320</v>
      </c>
    </row>
    <row r="44" spans="1:34" ht="13.5" x14ac:dyDescent="0.35">
      <c r="B44" t="s">
        <v>501</v>
      </c>
      <c r="D44" s="221" t="str">
        <f t="shared" ref="D44:P44" si="30">+IFERROR(D45-D43,"n/a")</f>
        <v>n/a</v>
      </c>
      <c r="E44" s="221" t="str">
        <f t="shared" si="30"/>
        <v>n/a</v>
      </c>
      <c r="F44" s="221" t="str">
        <f t="shared" si="30"/>
        <v>n/a</v>
      </c>
      <c r="G44" s="221" t="str">
        <f t="shared" si="30"/>
        <v>n/a</v>
      </c>
      <c r="H44" s="221">
        <f t="shared" si="30"/>
        <v>760</v>
      </c>
      <c r="I44" s="221">
        <f t="shared" si="30"/>
        <v>730</v>
      </c>
      <c r="J44" s="221">
        <f t="shared" si="30"/>
        <v>770</v>
      </c>
      <c r="K44" s="221">
        <f t="shared" si="30"/>
        <v>950.00000000000045</v>
      </c>
      <c r="L44" s="221">
        <f t="shared" si="30"/>
        <v>970</v>
      </c>
      <c r="M44" s="221">
        <f t="shared" si="30"/>
        <v>870</v>
      </c>
      <c r="N44" s="221">
        <f t="shared" si="30"/>
        <v>890</v>
      </c>
      <c r="O44" s="221">
        <f t="shared" si="30"/>
        <v>969.99999999999909</v>
      </c>
      <c r="P44" s="221">
        <f t="shared" si="30"/>
        <v>980</v>
      </c>
      <c r="V44" s="221" t="str">
        <f t="shared" ref="V44:AA44" si="31">+IFERROR(V45-V43,"n/a")</f>
        <v>n/a</v>
      </c>
      <c r="W44" s="221">
        <f t="shared" si="31"/>
        <v>1490</v>
      </c>
      <c r="X44" s="221">
        <f t="shared" si="31"/>
        <v>2010</v>
      </c>
      <c r="Y44" s="221">
        <f t="shared" si="31"/>
        <v>2620</v>
      </c>
      <c r="Z44" s="221">
        <f t="shared" si="31"/>
        <v>3210</v>
      </c>
      <c r="AA44" s="221">
        <f t="shared" si="31"/>
        <v>3700</v>
      </c>
    </row>
    <row r="45" spans="1:34" s="44" customFormat="1" x14ac:dyDescent="0.2">
      <c r="A45" s="254"/>
      <c r="B45" s="110" t="s">
        <v>499</v>
      </c>
      <c r="D45" s="113">
        <v>1850</v>
      </c>
      <c r="E45" s="113">
        <v>1860</v>
      </c>
      <c r="F45" s="113">
        <v>1870</v>
      </c>
      <c r="G45" s="113">
        <v>1979.9999999999995</v>
      </c>
      <c r="H45" s="113">
        <v>2120</v>
      </c>
      <c r="I45" s="113">
        <v>1930</v>
      </c>
      <c r="J45" s="113">
        <v>2130</v>
      </c>
      <c r="K45" s="113">
        <v>2320.0000000000005</v>
      </c>
      <c r="L45" s="113">
        <v>2480</v>
      </c>
      <c r="M45" s="113">
        <v>2580</v>
      </c>
      <c r="N45" s="113">
        <v>2830</v>
      </c>
      <c r="O45" s="113">
        <v>3129.9999999999991</v>
      </c>
      <c r="P45" s="113">
        <v>3330</v>
      </c>
      <c r="Q45" s="259">
        <f>+Q46+P45-P46</f>
        <v>3593</v>
      </c>
      <c r="R45" s="259">
        <f>+R46+Q45-Q46</f>
        <v>3983</v>
      </c>
      <c r="S45" s="259">
        <f>+S46+R45-R46</f>
        <v>4353.7898036904753</v>
      </c>
      <c r="V45" s="113">
        <v>3680</v>
      </c>
      <c r="W45" s="113">
        <v>5180</v>
      </c>
      <c r="X45" s="113">
        <v>6390</v>
      </c>
      <c r="Y45" s="113">
        <v>7560</v>
      </c>
      <c r="Z45" s="113">
        <v>8500</v>
      </c>
      <c r="AA45" s="113">
        <v>11020</v>
      </c>
      <c r="AB45" s="111">
        <f>+SUM(P45:S45)</f>
        <v>15259.789803690475</v>
      </c>
      <c r="AC45" s="259">
        <f>+AC46+AB45-AB46</f>
        <v>19220.592133266509</v>
      </c>
      <c r="AD45" s="259">
        <f>+AD46+AC45-AC46</f>
        <v>22721.677705589478</v>
      </c>
      <c r="AE45" s="259"/>
      <c r="AF45" s="259"/>
    </row>
    <row r="46" spans="1:34" s="44" customFormat="1" x14ac:dyDescent="0.2">
      <c r="A46" s="254"/>
      <c r="B46" s="60" t="s">
        <v>505</v>
      </c>
      <c r="D46" s="115">
        <v>1972</v>
      </c>
      <c r="E46" s="115">
        <v>1985</v>
      </c>
      <c r="F46" s="115">
        <v>1995</v>
      </c>
      <c r="G46" s="115">
        <v>2014</v>
      </c>
      <c r="H46" s="115">
        <v>2156</v>
      </c>
      <c r="I46" s="115">
        <v>1979</v>
      </c>
      <c r="J46" s="115">
        <v>2175</v>
      </c>
      <c r="K46" s="115">
        <v>2376</v>
      </c>
      <c r="L46" s="115">
        <v>2524</v>
      </c>
      <c r="M46" s="115">
        <v>2623</v>
      </c>
      <c r="N46" s="115">
        <v>2858</v>
      </c>
      <c r="O46" s="115">
        <v>3172</v>
      </c>
      <c r="P46" s="115">
        <v>3374</v>
      </c>
      <c r="Q46" s="258">
        <f>'Historical Financials'!BI69</f>
        <v>3637</v>
      </c>
      <c r="R46" s="258">
        <f>'Historical Financials'!BJ69</f>
        <v>4027</v>
      </c>
      <c r="S46" s="258">
        <f>'Historical Financials'!BK69</f>
        <v>4397.7898036904753</v>
      </c>
      <c r="V46" s="115">
        <v>4315</v>
      </c>
      <c r="W46" s="115">
        <v>5741</v>
      </c>
      <c r="X46" s="115">
        <v>6862</v>
      </c>
      <c r="Y46" s="115">
        <v>7966</v>
      </c>
      <c r="Z46" s="115">
        <v>8686</v>
      </c>
      <c r="AA46" s="115">
        <v>11177</v>
      </c>
      <c r="AB46" s="95">
        <f>+SUM(P46:S46)</f>
        <v>15435.789803690475</v>
      </c>
      <c r="AC46" s="258">
        <f>+'Simple Model - Case 1'!K29</f>
        <v>19396.592133266509</v>
      </c>
      <c r="AD46" s="258">
        <f>+'Simple Model - Case 1'!L29</f>
        <v>22897.677705589478</v>
      </c>
      <c r="AE46" s="258"/>
      <c r="AF46" s="258"/>
      <c r="AH46" s="111"/>
    </row>
    <row r="47" spans="1:34" x14ac:dyDescent="0.2">
      <c r="Q47" s="64"/>
      <c r="R47" s="64"/>
      <c r="S47" s="64"/>
    </row>
    <row r="48" spans="1:34" x14ac:dyDescent="0.2">
      <c r="B48" s="62" t="s">
        <v>502</v>
      </c>
    </row>
    <row r="49" spans="1:33" x14ac:dyDescent="0.2">
      <c r="B49" s="60" t="s">
        <v>405</v>
      </c>
      <c r="D49" s="256" t="str">
        <f t="shared" ref="D49:S49" si="32">+IFERROR(D11/(D43*4),"n/a")</f>
        <v>n/a</v>
      </c>
      <c r="E49" s="256" t="str">
        <f t="shared" si="32"/>
        <v>n/a</v>
      </c>
      <c r="F49" s="256" t="str">
        <f t="shared" si="32"/>
        <v>n/a</v>
      </c>
      <c r="G49" s="256" t="str">
        <f t="shared" si="32"/>
        <v>n/a</v>
      </c>
      <c r="H49" s="256">
        <f t="shared" si="32"/>
        <v>4.9805147058823529</v>
      </c>
      <c r="I49" s="256">
        <f t="shared" si="32"/>
        <v>6.0408333333333335</v>
      </c>
      <c r="J49" s="256">
        <f t="shared" si="32"/>
        <v>5.7790441176470591</v>
      </c>
      <c r="K49" s="256">
        <f t="shared" si="32"/>
        <v>6.2645985401459852</v>
      </c>
      <c r="L49" s="256">
        <f t="shared" si="32"/>
        <v>6.1725165562913906</v>
      </c>
      <c r="M49" s="256">
        <f t="shared" si="32"/>
        <v>5.9684210526315793</v>
      </c>
      <c r="N49" s="256">
        <f t="shared" si="32"/>
        <v>5.755412371134021</v>
      </c>
      <c r="O49" s="256">
        <f t="shared" si="32"/>
        <v>5.4210648148148151</v>
      </c>
      <c r="P49" s="256">
        <f t="shared" si="32"/>
        <v>5.51936170212766</v>
      </c>
      <c r="Q49" s="256" t="str">
        <f t="shared" si="32"/>
        <v>n/a</v>
      </c>
      <c r="R49" s="256" t="str">
        <f t="shared" si="32"/>
        <v>n/a</v>
      </c>
      <c r="S49" s="256" t="str">
        <f t="shared" si="32"/>
        <v>n/a</v>
      </c>
      <c r="V49" s="256" t="str">
        <f t="shared" ref="V49:AD49" si="33">+IFERROR(V11/(V43),"n/a")</f>
        <v>n/a</v>
      </c>
      <c r="W49" s="256">
        <f t="shared" si="33"/>
        <v>4.6081300813008133</v>
      </c>
      <c r="X49" s="256">
        <f t="shared" si="33"/>
        <v>5.0235159817351596</v>
      </c>
      <c r="Y49" s="256">
        <f t="shared" si="33"/>
        <v>5.1789473684210527</v>
      </c>
      <c r="Z49" s="256">
        <f t="shared" si="33"/>
        <v>6.4896030245746692</v>
      </c>
      <c r="AA49" s="256">
        <f t="shared" si="33"/>
        <v>6.3986338797814204</v>
      </c>
      <c r="AB49" s="256" t="str">
        <f t="shared" si="33"/>
        <v>n/a</v>
      </c>
      <c r="AC49" s="256" t="str">
        <f t="shared" si="33"/>
        <v>n/a</v>
      </c>
      <c r="AD49" s="256" t="str">
        <f t="shared" si="33"/>
        <v>n/a</v>
      </c>
      <c r="AE49" s="256"/>
      <c r="AF49" s="256"/>
    </row>
    <row r="50" spans="1:33" ht="13.5" x14ac:dyDescent="0.35">
      <c r="B50" s="60" t="s">
        <v>503</v>
      </c>
      <c r="D50" s="257" t="str">
        <f t="shared" ref="D50:S50" si="34">+IFERROR(D12/(D44*4),"n/a")</f>
        <v>n/a</v>
      </c>
      <c r="E50" s="257" t="str">
        <f t="shared" si="34"/>
        <v>n/a</v>
      </c>
      <c r="F50" s="257" t="str">
        <f t="shared" si="34"/>
        <v>n/a</v>
      </c>
      <c r="G50" s="257" t="str">
        <f t="shared" si="34"/>
        <v>n/a</v>
      </c>
      <c r="H50" s="257">
        <f t="shared" si="34"/>
        <v>18.401644736842105</v>
      </c>
      <c r="I50" s="257">
        <f t="shared" si="34"/>
        <v>20.899315068493152</v>
      </c>
      <c r="J50" s="257">
        <f t="shared" si="34"/>
        <v>21.328896103896103</v>
      </c>
      <c r="K50" s="257">
        <f t="shared" si="34"/>
        <v>18.463947368421042</v>
      </c>
      <c r="L50" s="257">
        <f t="shared" si="34"/>
        <v>19.034278350515464</v>
      </c>
      <c r="M50" s="257">
        <f t="shared" si="34"/>
        <v>21.861494252873563</v>
      </c>
      <c r="N50" s="257">
        <f t="shared" si="34"/>
        <v>21.898314606741572</v>
      </c>
      <c r="O50" s="257">
        <f t="shared" si="34"/>
        <v>21.361597938144349</v>
      </c>
      <c r="P50" s="257">
        <f t="shared" si="34"/>
        <v>21.157142857142858</v>
      </c>
      <c r="Q50" s="257" t="str">
        <f t="shared" si="34"/>
        <v>n/a</v>
      </c>
      <c r="R50" s="257" t="str">
        <f t="shared" si="34"/>
        <v>n/a</v>
      </c>
      <c r="S50" s="257" t="str">
        <f t="shared" si="34"/>
        <v>n/a</v>
      </c>
      <c r="V50" s="257" t="str">
        <f t="shared" ref="V50:AD50" si="35">+IFERROR(V12/(V44),"n/a")</f>
        <v>n/a</v>
      </c>
      <c r="W50" s="257">
        <f t="shared" si="35"/>
        <v>19.451006711409395</v>
      </c>
      <c r="X50" s="257">
        <f t="shared" si="35"/>
        <v>19.426865671641792</v>
      </c>
      <c r="Y50" s="257">
        <f t="shared" si="35"/>
        <v>19.963740458015266</v>
      </c>
      <c r="Z50" s="257">
        <f t="shared" si="35"/>
        <v>21.857632398753893</v>
      </c>
      <c r="AA50" s="257">
        <f t="shared" si="35"/>
        <v>22.40081081081081</v>
      </c>
      <c r="AB50" s="257" t="str">
        <f t="shared" si="35"/>
        <v>n/a</v>
      </c>
      <c r="AC50" s="257" t="str">
        <f t="shared" si="35"/>
        <v>n/a</v>
      </c>
      <c r="AD50" s="257" t="str">
        <f t="shared" si="35"/>
        <v>n/a</v>
      </c>
      <c r="AE50" s="257"/>
      <c r="AF50" s="257"/>
    </row>
    <row r="51" spans="1:33" x14ac:dyDescent="0.2">
      <c r="B51" s="101" t="s">
        <v>504</v>
      </c>
      <c r="D51" s="256">
        <f t="shared" ref="D51:S51" si="36">+IFERROR(D13/(D45*4),"n/a")</f>
        <v>8.6770270270270267</v>
      </c>
      <c r="E51" s="256">
        <f t="shared" si="36"/>
        <v>9.2263440860215056</v>
      </c>
      <c r="F51" s="256">
        <f t="shared" si="36"/>
        <v>9.6758021390374331</v>
      </c>
      <c r="G51" s="256">
        <f t="shared" si="36"/>
        <v>9.8344696969697001</v>
      </c>
      <c r="H51" s="256">
        <f t="shared" si="36"/>
        <v>9.7918632075471699</v>
      </c>
      <c r="I51" s="256">
        <f t="shared" si="36"/>
        <v>11.660880829015545</v>
      </c>
      <c r="J51" s="256">
        <f t="shared" si="36"/>
        <v>11.400352112676057</v>
      </c>
      <c r="K51" s="256">
        <f t="shared" si="36"/>
        <v>11.260021551724135</v>
      </c>
      <c r="L51" s="256">
        <f t="shared" si="36"/>
        <v>11.203125</v>
      </c>
      <c r="M51" s="256">
        <f t="shared" si="36"/>
        <v>11.327713178294573</v>
      </c>
      <c r="N51" s="256">
        <f t="shared" si="36"/>
        <v>10.832155477031803</v>
      </c>
      <c r="O51" s="256">
        <f t="shared" si="36"/>
        <v>10.361102236421729</v>
      </c>
      <c r="P51" s="256">
        <f t="shared" si="36"/>
        <v>10.121471471471471</v>
      </c>
      <c r="Q51" s="256">
        <f t="shared" si="36"/>
        <v>9.899457278040634</v>
      </c>
      <c r="R51" s="256">
        <f t="shared" si="36"/>
        <v>9.4440120512176744</v>
      </c>
      <c r="S51" s="256">
        <f t="shared" si="36"/>
        <v>9.3615268619832701</v>
      </c>
      <c r="V51" s="256">
        <f t="shared" ref="V51:AD51" si="37">+IFERROR(V13/(V45),"n/a")</f>
        <v>8.5796195652173921</v>
      </c>
      <c r="W51" s="256">
        <f t="shared" si="37"/>
        <v>8.877606177606177</v>
      </c>
      <c r="X51" s="256">
        <f t="shared" si="37"/>
        <v>9.5541471048513298</v>
      </c>
      <c r="Y51" s="256">
        <f t="shared" si="37"/>
        <v>10.302777777777777</v>
      </c>
      <c r="Z51" s="256">
        <f t="shared" si="37"/>
        <v>12.29329411764706</v>
      </c>
      <c r="AA51" s="256">
        <f t="shared" si="37"/>
        <v>11.771415607985482</v>
      </c>
      <c r="AB51" s="256">
        <f t="shared" si="37"/>
        <v>10.683795969147669</v>
      </c>
      <c r="AC51" s="256">
        <f t="shared" si="37"/>
        <v>10.62857094482032</v>
      </c>
      <c r="AD51" s="256">
        <f t="shared" si="37"/>
        <v>10.879017126782772</v>
      </c>
      <c r="AE51" s="256"/>
      <c r="AF51" s="256"/>
    </row>
    <row r="52" spans="1:33" x14ac:dyDescent="0.2">
      <c r="B52" s="101"/>
      <c r="D52" s="256"/>
      <c r="E52" s="256"/>
      <c r="F52" s="256"/>
      <c r="G52" s="256"/>
      <c r="H52" s="256"/>
      <c r="I52" s="256"/>
      <c r="J52" s="256"/>
      <c r="K52" s="256"/>
      <c r="L52" s="256"/>
      <c r="M52" s="256"/>
      <c r="N52" s="256"/>
      <c r="O52" s="256"/>
      <c r="P52" s="256"/>
      <c r="Q52" s="256"/>
      <c r="R52" s="256"/>
      <c r="S52" s="256"/>
      <c r="V52" s="256"/>
      <c r="W52" s="256"/>
      <c r="X52" s="256"/>
      <c r="Y52" s="256"/>
      <c r="Z52" s="256"/>
      <c r="AA52" s="256"/>
      <c r="AB52" s="256"/>
      <c r="AC52" s="256"/>
      <c r="AD52" s="256"/>
      <c r="AE52" s="256"/>
      <c r="AF52" s="256"/>
    </row>
    <row r="53" spans="1:33" x14ac:dyDescent="0.2">
      <c r="B53" s="62" t="s">
        <v>537</v>
      </c>
      <c r="D53" s="256"/>
      <c r="E53" s="256"/>
      <c r="F53" s="256"/>
      <c r="G53" s="256"/>
      <c r="H53" s="256"/>
      <c r="I53" s="256"/>
      <c r="J53" s="256"/>
      <c r="K53" s="256"/>
      <c r="L53" s="256"/>
      <c r="M53" s="256"/>
      <c r="N53" s="256"/>
      <c r="O53" s="256"/>
      <c r="P53" s="256"/>
      <c r="Q53" s="256"/>
      <c r="R53" s="256"/>
      <c r="S53" s="256"/>
      <c r="V53" s="256"/>
      <c r="W53" s="256"/>
      <c r="X53" s="256"/>
      <c r="Y53" s="256"/>
      <c r="Z53" s="256"/>
      <c r="AA53" s="256"/>
      <c r="AB53" s="256"/>
      <c r="AC53" s="256"/>
      <c r="AD53" s="256"/>
      <c r="AE53" s="256"/>
      <c r="AF53" s="256"/>
    </row>
    <row r="54" spans="1:33" x14ac:dyDescent="0.2">
      <c r="B54" s="60" t="s">
        <v>504</v>
      </c>
      <c r="D54" s="256">
        <f t="shared" ref="D54:S54" si="38">+D15/(D45*4)</f>
        <v>7.0124324324324325</v>
      </c>
      <c r="E54" s="256">
        <f t="shared" si="38"/>
        <v>7.5337365591397853</v>
      </c>
      <c r="F54" s="256">
        <f t="shared" si="38"/>
        <v>7.9109625668449199</v>
      </c>
      <c r="G54" s="256">
        <f t="shared" si="38"/>
        <v>7.9800505050505066</v>
      </c>
      <c r="H54" s="256">
        <f t="shared" si="38"/>
        <v>7.7834905660377363</v>
      </c>
      <c r="I54" s="256">
        <f t="shared" si="38"/>
        <v>8.9277202072538859</v>
      </c>
      <c r="J54" s="256">
        <f t="shared" si="38"/>
        <v>8.6276995305164323</v>
      </c>
      <c r="K54" s="256">
        <f t="shared" si="38"/>
        <v>8.5604525862068943</v>
      </c>
      <c r="L54" s="256">
        <f t="shared" si="38"/>
        <v>8.6790322580645167</v>
      </c>
      <c r="M54" s="256">
        <f t="shared" si="38"/>
        <v>8.9204457364341092</v>
      </c>
      <c r="N54" s="256">
        <f t="shared" si="38"/>
        <v>8.8052120141342751</v>
      </c>
      <c r="O54" s="256">
        <f t="shared" si="38"/>
        <v>8.4226837060702895</v>
      </c>
      <c r="P54" s="256">
        <f t="shared" si="38"/>
        <v>8.3966216216216214</v>
      </c>
      <c r="Q54" s="256">
        <f t="shared" si="38"/>
        <v>8.1175549679933212</v>
      </c>
      <c r="R54" s="256">
        <f t="shared" si="38"/>
        <v>7.6496497614863168</v>
      </c>
      <c r="S54" s="256">
        <f t="shared" si="38"/>
        <v>7.4892214895866163</v>
      </c>
      <c r="U54" s="256"/>
      <c r="V54" s="256">
        <f t="shared" ref="V54:AD54" si="39">+V15/(V45)</f>
        <v>6.6154891304347823</v>
      </c>
      <c r="W54" s="256">
        <f t="shared" si="39"/>
        <v>6.9279922779922778</v>
      </c>
      <c r="X54" s="256">
        <f t="shared" si="39"/>
        <v>7.7876369327073549</v>
      </c>
      <c r="Y54" s="256">
        <f t="shared" si="39"/>
        <v>8.3600529100529108</v>
      </c>
      <c r="Z54" s="256">
        <f t="shared" si="39"/>
        <v>9.3460000000000001</v>
      </c>
      <c r="AA54" s="256">
        <f t="shared" si="39"/>
        <v>9.5691470054446466</v>
      </c>
      <c r="AB54" s="256">
        <f t="shared" si="39"/>
        <v>8.5470367753181353</v>
      </c>
      <c r="AC54" s="256">
        <f t="shared" si="39"/>
        <v>8.5028567558562553</v>
      </c>
      <c r="AD54" s="256">
        <f t="shared" si="39"/>
        <v>8.8120038726940439</v>
      </c>
      <c r="AE54" s="256"/>
      <c r="AF54" s="256"/>
      <c r="AG54" s="256"/>
    </row>
    <row r="55" spans="1:33" x14ac:dyDescent="0.2">
      <c r="AG55" s="56"/>
    </row>
    <row r="56" spans="1:33" x14ac:dyDescent="0.2">
      <c r="B56" s="54" t="s">
        <v>398</v>
      </c>
    </row>
    <row r="57" spans="1:33" x14ac:dyDescent="0.2">
      <c r="B57" t="s">
        <v>391</v>
      </c>
      <c r="D57" s="64">
        <f t="shared" ref="D57:S57" si="40">+D13</f>
        <v>64210</v>
      </c>
      <c r="E57" s="64">
        <f t="shared" si="40"/>
        <v>68644</v>
      </c>
      <c r="F57" s="64">
        <f t="shared" si="40"/>
        <v>72375</v>
      </c>
      <c r="G57" s="64">
        <f t="shared" si="40"/>
        <v>77889</v>
      </c>
      <c r="H57" s="64">
        <f t="shared" si="40"/>
        <v>83035</v>
      </c>
      <c r="I57" s="64">
        <f t="shared" si="40"/>
        <v>90022</v>
      </c>
      <c r="J57" s="64">
        <f t="shared" si="40"/>
        <v>97131</v>
      </c>
      <c r="K57" s="64">
        <f t="shared" si="40"/>
        <v>104493</v>
      </c>
      <c r="L57" s="64">
        <f t="shared" si="40"/>
        <v>111135</v>
      </c>
      <c r="M57" s="64">
        <f t="shared" si="40"/>
        <v>116902</v>
      </c>
      <c r="N57" s="64">
        <f t="shared" si="40"/>
        <v>122620</v>
      </c>
      <c r="O57" s="64">
        <f t="shared" si="40"/>
        <v>129721</v>
      </c>
      <c r="P57" s="64">
        <f t="shared" si="40"/>
        <v>134818</v>
      </c>
      <c r="Q57" s="64">
        <f t="shared" si="40"/>
        <v>142275</v>
      </c>
      <c r="R57" s="64">
        <f t="shared" si="40"/>
        <v>150462</v>
      </c>
      <c r="S57" s="64">
        <f t="shared" si="40"/>
        <v>163032.480794709</v>
      </c>
      <c r="V57" s="64">
        <f t="shared" ref="V57:AD57" si="41">+V13</f>
        <v>31573</v>
      </c>
      <c r="W57" s="64">
        <f t="shared" si="41"/>
        <v>45986</v>
      </c>
      <c r="X57" s="64">
        <f t="shared" si="41"/>
        <v>61051</v>
      </c>
      <c r="Y57" s="64">
        <f t="shared" si="41"/>
        <v>77889</v>
      </c>
      <c r="Z57" s="64">
        <f t="shared" si="41"/>
        <v>104493</v>
      </c>
      <c r="AA57" s="64">
        <f t="shared" si="41"/>
        <v>129721</v>
      </c>
      <c r="AB57" s="64">
        <f t="shared" si="41"/>
        <v>163032.480794709</v>
      </c>
      <c r="AC57" s="64">
        <f t="shared" si="41"/>
        <v>204287.42708987842</v>
      </c>
      <c r="AD57" s="64">
        <f t="shared" si="41"/>
        <v>247189.5209083462</v>
      </c>
      <c r="AE57" s="64"/>
      <c r="AF57" s="64"/>
    </row>
    <row r="58" spans="1:33" ht="13.5" x14ac:dyDescent="0.35">
      <c r="B58" t="s">
        <v>394</v>
      </c>
      <c r="D58" s="82">
        <v>-16490</v>
      </c>
      <c r="E58" s="82">
        <v>-17735</v>
      </c>
      <c r="F58" s="82">
        <v>-18649</v>
      </c>
      <c r="G58" s="82">
        <v>-20080</v>
      </c>
      <c r="H58" s="82">
        <v>-21453</v>
      </c>
      <c r="I58" s="82">
        <v>-22434</v>
      </c>
      <c r="J58" s="82">
        <v>-23393</v>
      </c>
      <c r="K58" s="82">
        <v>-24975</v>
      </c>
      <c r="L58" s="82">
        <v>-26979</v>
      </c>
      <c r="M58" s="82">
        <v>-28953</v>
      </c>
      <c r="N58" s="82">
        <v>-30848</v>
      </c>
      <c r="O58" s="82">
        <v>-33134</v>
      </c>
      <c r="P58" s="82">
        <v>-35910</v>
      </c>
      <c r="Q58" s="65">
        <f>-Q66</f>
        <v>-39003</v>
      </c>
      <c r="R58" s="65">
        <f>-R66</f>
        <v>-42486</v>
      </c>
      <c r="S58" s="65">
        <f>-S66</f>
        <v>-46339.789803690473</v>
      </c>
      <c r="U58" s="82">
        <v>-4616</v>
      </c>
      <c r="V58" s="82">
        <v>-6890</v>
      </c>
      <c r="W58" s="82">
        <v>-10663</v>
      </c>
      <c r="X58" s="82">
        <v>-15418</v>
      </c>
      <c r="Y58" s="82">
        <v>-20080</v>
      </c>
      <c r="Z58" s="82">
        <v>-24975</v>
      </c>
      <c r="AA58" s="82">
        <v>-33134</v>
      </c>
      <c r="AB58" s="65">
        <f>+S58</f>
        <v>-46339.789803690473</v>
      </c>
      <c r="AC58" s="65">
        <f>-AC66</f>
        <v>-63560.381936956983</v>
      </c>
      <c r="AD58" s="65">
        <f>-AD66</f>
        <v>-84282.059642546461</v>
      </c>
      <c r="AE58" s="65"/>
      <c r="AF58" s="65"/>
    </row>
    <row r="59" spans="1:33" s="44" customFormat="1" x14ac:dyDescent="0.2">
      <c r="A59" s="254"/>
      <c r="B59" s="110" t="s">
        <v>398</v>
      </c>
      <c r="D59" s="111">
        <f t="shared" ref="D59:S59" si="42">SUM(D57:D58)</f>
        <v>47720</v>
      </c>
      <c r="E59" s="111">
        <f t="shared" si="42"/>
        <v>50909</v>
      </c>
      <c r="F59" s="111">
        <f t="shared" si="42"/>
        <v>53726</v>
      </c>
      <c r="G59" s="111">
        <f t="shared" si="42"/>
        <v>57809</v>
      </c>
      <c r="H59" s="111">
        <f t="shared" si="42"/>
        <v>61582</v>
      </c>
      <c r="I59" s="111">
        <f t="shared" si="42"/>
        <v>67588</v>
      </c>
      <c r="J59" s="111">
        <f t="shared" si="42"/>
        <v>73738</v>
      </c>
      <c r="K59" s="111">
        <f t="shared" si="42"/>
        <v>79518</v>
      </c>
      <c r="L59" s="111">
        <f t="shared" si="42"/>
        <v>84156</v>
      </c>
      <c r="M59" s="111">
        <f t="shared" si="42"/>
        <v>87949</v>
      </c>
      <c r="N59" s="111">
        <f t="shared" si="42"/>
        <v>91772</v>
      </c>
      <c r="O59" s="111">
        <f t="shared" si="42"/>
        <v>96587</v>
      </c>
      <c r="P59" s="111">
        <f t="shared" si="42"/>
        <v>98908</v>
      </c>
      <c r="Q59" s="111">
        <f t="shared" si="42"/>
        <v>103272</v>
      </c>
      <c r="R59" s="111">
        <f t="shared" si="42"/>
        <v>107976</v>
      </c>
      <c r="S59" s="111">
        <f t="shared" si="42"/>
        <v>116692.69099101852</v>
      </c>
      <c r="V59" s="111">
        <f t="shared" ref="V59:AD59" si="43">SUM(V57:V58)</f>
        <v>24683</v>
      </c>
      <c r="W59" s="111">
        <f t="shared" si="43"/>
        <v>35323</v>
      </c>
      <c r="X59" s="111">
        <f t="shared" si="43"/>
        <v>45633</v>
      </c>
      <c r="Y59" s="111">
        <f t="shared" si="43"/>
        <v>57809</v>
      </c>
      <c r="Z59" s="111">
        <f t="shared" si="43"/>
        <v>79518</v>
      </c>
      <c r="AA59" s="111">
        <f t="shared" si="43"/>
        <v>96587</v>
      </c>
      <c r="AB59" s="111">
        <f t="shared" si="43"/>
        <v>116692.69099101852</v>
      </c>
      <c r="AC59" s="111">
        <f t="shared" si="43"/>
        <v>140727.04515292143</v>
      </c>
      <c r="AD59" s="111">
        <f t="shared" si="43"/>
        <v>162907.46126579973</v>
      </c>
      <c r="AE59" s="111"/>
      <c r="AF59" s="111"/>
    </row>
    <row r="60" spans="1:33" x14ac:dyDescent="0.2">
      <c r="B60" s="60" t="s">
        <v>513</v>
      </c>
      <c r="D60" s="256">
        <f t="shared" ref="D60:S60" si="44">+IFERROR(D59/(D45*4),"n/a")</f>
        <v>6.448648648648649</v>
      </c>
      <c r="E60" s="256">
        <f t="shared" si="44"/>
        <v>6.8426075268817206</v>
      </c>
      <c r="F60" s="256">
        <f t="shared" si="44"/>
        <v>7.182620320855615</v>
      </c>
      <c r="G60" s="256">
        <f t="shared" si="44"/>
        <v>7.2991161616161637</v>
      </c>
      <c r="H60" s="256">
        <f t="shared" si="44"/>
        <v>7.2620283018867928</v>
      </c>
      <c r="I60" s="256">
        <f t="shared" si="44"/>
        <v>8.754922279792746</v>
      </c>
      <c r="J60" s="256">
        <f t="shared" si="44"/>
        <v>8.6546948356807505</v>
      </c>
      <c r="K60" s="256">
        <f t="shared" si="44"/>
        <v>8.5687499999999979</v>
      </c>
      <c r="L60" s="256">
        <f t="shared" si="44"/>
        <v>8.4834677419354847</v>
      </c>
      <c r="M60" s="256">
        <f t="shared" si="44"/>
        <v>8.5221899224806208</v>
      </c>
      <c r="N60" s="256">
        <f t="shared" si="44"/>
        <v>8.107067137809187</v>
      </c>
      <c r="O60" s="256">
        <f t="shared" si="44"/>
        <v>7.7146166134185323</v>
      </c>
      <c r="P60" s="256">
        <f t="shared" si="44"/>
        <v>7.4255255255255257</v>
      </c>
      <c r="Q60" s="256">
        <f t="shared" si="44"/>
        <v>7.1856387419983303</v>
      </c>
      <c r="R60" s="256">
        <f t="shared" si="44"/>
        <v>6.7773035400451924</v>
      </c>
      <c r="S60" s="256">
        <f t="shared" si="44"/>
        <v>6.7006387683268693</v>
      </c>
      <c r="V60" s="256">
        <f t="shared" ref="V60:AD60" si="45">+IFERROR(V59/(V45),"n/a")</f>
        <v>6.7073369565217389</v>
      </c>
      <c r="W60" s="256">
        <f t="shared" si="45"/>
        <v>6.8191119691119688</v>
      </c>
      <c r="X60" s="256">
        <f t="shared" si="45"/>
        <v>7.1413145539906102</v>
      </c>
      <c r="Y60" s="256">
        <f t="shared" si="45"/>
        <v>7.6466931216931213</v>
      </c>
      <c r="Z60" s="256">
        <f t="shared" si="45"/>
        <v>9.3550588235294114</v>
      </c>
      <c r="AA60" s="256">
        <f t="shared" si="45"/>
        <v>8.7647005444646098</v>
      </c>
      <c r="AB60" s="256">
        <f t="shared" si="45"/>
        <v>7.647070666910313</v>
      </c>
      <c r="AC60" s="256">
        <f t="shared" si="45"/>
        <v>7.3216810479711842</v>
      </c>
      <c r="AD60" s="256">
        <f t="shared" si="45"/>
        <v>7.1696933376413874</v>
      </c>
      <c r="AE60" s="256"/>
      <c r="AF60" s="256"/>
    </row>
    <row r="61" spans="1:33" x14ac:dyDescent="0.2">
      <c r="B61" s="60"/>
      <c r="V61" s="64"/>
      <c r="W61" s="64"/>
      <c r="X61" s="64"/>
      <c r="Y61" s="64"/>
      <c r="Z61" s="64"/>
      <c r="AA61" s="64"/>
    </row>
    <row r="62" spans="1:33" x14ac:dyDescent="0.2">
      <c r="B62" s="62" t="s">
        <v>19</v>
      </c>
      <c r="V62" s="64"/>
      <c r="W62" s="64"/>
      <c r="X62" s="64"/>
      <c r="Y62" s="64"/>
      <c r="Z62" s="64"/>
      <c r="AA62" s="64"/>
    </row>
    <row r="63" spans="1:33" x14ac:dyDescent="0.2">
      <c r="B63" s="60" t="s">
        <v>395</v>
      </c>
      <c r="D63" s="95">
        <f>-X58</f>
        <v>15418</v>
      </c>
      <c r="E63" s="95">
        <f t="shared" ref="E63:S63" si="46">+D66</f>
        <v>16490</v>
      </c>
      <c r="F63" s="95">
        <f t="shared" si="46"/>
        <v>17735</v>
      </c>
      <c r="G63" s="95">
        <f t="shared" si="46"/>
        <v>18649</v>
      </c>
      <c r="H63" s="95">
        <f t="shared" si="46"/>
        <v>20080</v>
      </c>
      <c r="I63" s="95">
        <f t="shared" si="46"/>
        <v>21453</v>
      </c>
      <c r="J63" s="95">
        <f t="shared" si="46"/>
        <v>22434</v>
      </c>
      <c r="K63" s="95">
        <f t="shared" si="46"/>
        <v>23393</v>
      </c>
      <c r="L63" s="95">
        <f t="shared" si="46"/>
        <v>24975</v>
      </c>
      <c r="M63" s="95">
        <f t="shared" si="46"/>
        <v>26979</v>
      </c>
      <c r="N63" s="95">
        <f t="shared" si="46"/>
        <v>28953</v>
      </c>
      <c r="O63" s="95">
        <f t="shared" si="46"/>
        <v>30848</v>
      </c>
      <c r="P63" s="95">
        <f t="shared" si="46"/>
        <v>33134</v>
      </c>
      <c r="Q63" s="95">
        <f t="shared" si="46"/>
        <v>35910</v>
      </c>
      <c r="R63" s="95">
        <f t="shared" si="46"/>
        <v>39003</v>
      </c>
      <c r="S63" s="95">
        <f t="shared" si="46"/>
        <v>42486</v>
      </c>
      <c r="V63" s="95">
        <f>-U58</f>
        <v>4616</v>
      </c>
      <c r="W63" s="95">
        <f t="shared" ref="W63:AD63" si="47">+V66</f>
        <v>6890</v>
      </c>
      <c r="X63" s="95">
        <f t="shared" si="47"/>
        <v>10663</v>
      </c>
      <c r="Y63" s="95">
        <f t="shared" si="47"/>
        <v>15418</v>
      </c>
      <c r="Z63" s="95">
        <f t="shared" si="47"/>
        <v>20080</v>
      </c>
      <c r="AA63" s="95">
        <f t="shared" si="47"/>
        <v>24975</v>
      </c>
      <c r="AB63" s="95">
        <f t="shared" si="47"/>
        <v>33134</v>
      </c>
      <c r="AC63" s="95">
        <f t="shared" si="47"/>
        <v>46339.789803690473</v>
      </c>
      <c r="AD63" s="95">
        <f t="shared" si="47"/>
        <v>63560.381936956983</v>
      </c>
      <c r="AE63" s="95"/>
      <c r="AF63" s="95"/>
    </row>
    <row r="64" spans="1:33" x14ac:dyDescent="0.2">
      <c r="B64" s="60" t="s">
        <v>380</v>
      </c>
      <c r="D64" s="95">
        <f t="shared" ref="D64:S64" si="48">+D45</f>
        <v>1850</v>
      </c>
      <c r="E64" s="95">
        <f t="shared" si="48"/>
        <v>1860</v>
      </c>
      <c r="F64" s="95">
        <f t="shared" si="48"/>
        <v>1870</v>
      </c>
      <c r="G64" s="95">
        <f t="shared" si="48"/>
        <v>1979.9999999999995</v>
      </c>
      <c r="H64" s="95">
        <f t="shared" si="48"/>
        <v>2120</v>
      </c>
      <c r="I64" s="95">
        <f t="shared" si="48"/>
        <v>1930</v>
      </c>
      <c r="J64" s="95">
        <f t="shared" si="48"/>
        <v>2130</v>
      </c>
      <c r="K64" s="95">
        <f t="shared" si="48"/>
        <v>2320.0000000000005</v>
      </c>
      <c r="L64" s="95">
        <f t="shared" si="48"/>
        <v>2480</v>
      </c>
      <c r="M64" s="95">
        <f t="shared" si="48"/>
        <v>2580</v>
      </c>
      <c r="N64" s="95">
        <f t="shared" si="48"/>
        <v>2830</v>
      </c>
      <c r="O64" s="95">
        <f t="shared" si="48"/>
        <v>3129.9999999999991</v>
      </c>
      <c r="P64" s="95">
        <f t="shared" si="48"/>
        <v>3330</v>
      </c>
      <c r="Q64" s="95">
        <f t="shared" si="48"/>
        <v>3593</v>
      </c>
      <c r="R64" s="95">
        <f t="shared" si="48"/>
        <v>3983</v>
      </c>
      <c r="S64" s="95">
        <f t="shared" si="48"/>
        <v>4353.7898036904753</v>
      </c>
      <c r="V64" s="95">
        <f t="shared" ref="V64:AD64" si="49">+V45</f>
        <v>3680</v>
      </c>
      <c r="W64" s="95">
        <f t="shared" si="49"/>
        <v>5180</v>
      </c>
      <c r="X64" s="95">
        <f t="shared" si="49"/>
        <v>6390</v>
      </c>
      <c r="Y64" s="95">
        <f t="shared" si="49"/>
        <v>7560</v>
      </c>
      <c r="Z64" s="95">
        <f t="shared" si="49"/>
        <v>8500</v>
      </c>
      <c r="AA64" s="95">
        <f t="shared" si="49"/>
        <v>11020</v>
      </c>
      <c r="AB64" s="95">
        <f t="shared" si="49"/>
        <v>15259.789803690475</v>
      </c>
      <c r="AC64" s="95">
        <f t="shared" si="49"/>
        <v>19220.592133266509</v>
      </c>
      <c r="AD64" s="95">
        <f t="shared" si="49"/>
        <v>22721.677705589478</v>
      </c>
      <c r="AE64" s="95"/>
      <c r="AF64" s="95"/>
    </row>
    <row r="65" spans="2:32" ht="13.5" x14ac:dyDescent="0.35">
      <c r="B65" s="60" t="s">
        <v>33</v>
      </c>
      <c r="D65" s="77">
        <f t="shared" ref="D65:P65" si="50">+D66-SUM(D63:D64)</f>
        <v>-778</v>
      </c>
      <c r="E65" s="77">
        <f t="shared" si="50"/>
        <v>-615</v>
      </c>
      <c r="F65" s="77">
        <f t="shared" si="50"/>
        <v>-956</v>
      </c>
      <c r="G65" s="77">
        <f t="shared" si="50"/>
        <v>-549</v>
      </c>
      <c r="H65" s="77">
        <f t="shared" si="50"/>
        <v>-747</v>
      </c>
      <c r="I65" s="77">
        <f t="shared" si="50"/>
        <v>-949</v>
      </c>
      <c r="J65" s="77">
        <f t="shared" si="50"/>
        <v>-1171</v>
      </c>
      <c r="K65" s="77">
        <f t="shared" si="50"/>
        <v>-738</v>
      </c>
      <c r="L65" s="77">
        <f t="shared" si="50"/>
        <v>-476</v>
      </c>
      <c r="M65" s="77">
        <f t="shared" si="50"/>
        <v>-606</v>
      </c>
      <c r="N65" s="77">
        <f t="shared" si="50"/>
        <v>-935</v>
      </c>
      <c r="O65" s="77">
        <f t="shared" si="50"/>
        <v>-844</v>
      </c>
      <c r="P65" s="77">
        <f t="shared" si="50"/>
        <v>-554</v>
      </c>
      <c r="Q65" s="103">
        <v>-500</v>
      </c>
      <c r="R65" s="103">
        <v>-500</v>
      </c>
      <c r="S65" s="103">
        <v>-500</v>
      </c>
      <c r="V65" s="77">
        <f t="shared" ref="V65:AB65" si="51">+V66-SUM(V63:V64)</f>
        <v>-1406</v>
      </c>
      <c r="W65" s="77">
        <f t="shared" si="51"/>
        <v>-1407</v>
      </c>
      <c r="X65" s="77">
        <f t="shared" si="51"/>
        <v>-1635</v>
      </c>
      <c r="Y65" s="77">
        <f t="shared" si="51"/>
        <v>-2898</v>
      </c>
      <c r="Z65" s="77">
        <f t="shared" si="51"/>
        <v>-3605</v>
      </c>
      <c r="AA65" s="77">
        <f t="shared" si="51"/>
        <v>-2861</v>
      </c>
      <c r="AB65" s="77">
        <f t="shared" si="51"/>
        <v>-2054</v>
      </c>
      <c r="AC65" s="103">
        <v>-2000</v>
      </c>
      <c r="AD65" s="103">
        <v>-2000</v>
      </c>
      <c r="AE65" s="103"/>
      <c r="AF65" s="103"/>
    </row>
    <row r="66" spans="2:32" x14ac:dyDescent="0.2">
      <c r="B66" s="101" t="s">
        <v>388</v>
      </c>
      <c r="D66" s="95">
        <f t="shared" ref="D66:P66" si="52">-D58</f>
        <v>16490</v>
      </c>
      <c r="E66" s="95">
        <f t="shared" si="52"/>
        <v>17735</v>
      </c>
      <c r="F66" s="95">
        <f t="shared" si="52"/>
        <v>18649</v>
      </c>
      <c r="G66" s="95">
        <f t="shared" si="52"/>
        <v>20080</v>
      </c>
      <c r="H66" s="95">
        <f t="shared" si="52"/>
        <v>21453</v>
      </c>
      <c r="I66" s="95">
        <f t="shared" si="52"/>
        <v>22434</v>
      </c>
      <c r="J66" s="95">
        <f t="shared" si="52"/>
        <v>23393</v>
      </c>
      <c r="K66" s="95">
        <f t="shared" si="52"/>
        <v>24975</v>
      </c>
      <c r="L66" s="95">
        <f t="shared" si="52"/>
        <v>26979</v>
      </c>
      <c r="M66" s="95">
        <f t="shared" si="52"/>
        <v>28953</v>
      </c>
      <c r="N66" s="95">
        <f t="shared" si="52"/>
        <v>30848</v>
      </c>
      <c r="O66" s="95">
        <f t="shared" si="52"/>
        <v>33134</v>
      </c>
      <c r="P66" s="95">
        <f t="shared" si="52"/>
        <v>35910</v>
      </c>
      <c r="Q66" s="95">
        <f>SUM(Q63:Q65)</f>
        <v>39003</v>
      </c>
      <c r="R66" s="95">
        <f>SUM(R63:R65)</f>
        <v>42486</v>
      </c>
      <c r="S66" s="95">
        <f>SUM(S63:S65)</f>
        <v>46339.789803690473</v>
      </c>
      <c r="V66" s="95">
        <f t="shared" ref="V66:AB66" si="53">-V58</f>
        <v>6890</v>
      </c>
      <c r="W66" s="95">
        <f t="shared" si="53"/>
        <v>10663</v>
      </c>
      <c r="X66" s="95">
        <f t="shared" si="53"/>
        <v>15418</v>
      </c>
      <c r="Y66" s="95">
        <f t="shared" si="53"/>
        <v>20080</v>
      </c>
      <c r="Z66" s="95">
        <f t="shared" si="53"/>
        <v>24975</v>
      </c>
      <c r="AA66" s="95">
        <f t="shared" si="53"/>
        <v>33134</v>
      </c>
      <c r="AB66" s="95">
        <f t="shared" si="53"/>
        <v>46339.789803690473</v>
      </c>
      <c r="AC66" s="95">
        <f>SUM(AC63:AC65)</f>
        <v>63560.381936956983</v>
      </c>
      <c r="AD66" s="95">
        <f>SUM(AD63:AD65)</f>
        <v>84282.059642546461</v>
      </c>
      <c r="AE66" s="95"/>
      <c r="AF66" s="95"/>
    </row>
    <row r="72" spans="2:32" ht="15.75" x14ac:dyDescent="0.25">
      <c r="D72" s="278" t="s">
        <v>544</v>
      </c>
      <c r="E72" s="44"/>
      <c r="F72" s="44"/>
      <c r="G72" s="44"/>
      <c r="H72" s="44"/>
      <c r="I72" s="44"/>
      <c r="J72" s="44"/>
      <c r="K72" s="44"/>
      <c r="L72" s="44"/>
      <c r="M72" s="44"/>
      <c r="N72" s="44"/>
      <c r="O72" s="44"/>
      <c r="R72" s="278" t="s">
        <v>543</v>
      </c>
      <c r="S72" s="44"/>
      <c r="T72" s="44"/>
      <c r="U72" s="44"/>
      <c r="V72" s="44"/>
      <c r="W72" s="44"/>
      <c r="X72" s="44"/>
      <c r="Y72" s="44"/>
      <c r="Z72" s="44"/>
      <c r="AA72" s="44"/>
      <c r="AB72" s="44"/>
      <c r="AC72" s="44"/>
    </row>
    <row r="73" spans="2:32" x14ac:dyDescent="0.2">
      <c r="D73" s="44"/>
      <c r="E73" s="44"/>
      <c r="F73" s="44"/>
      <c r="G73" s="44"/>
      <c r="H73" s="44"/>
      <c r="I73" s="44"/>
      <c r="J73" s="44"/>
      <c r="K73" s="44"/>
      <c r="L73" s="44"/>
      <c r="M73" s="44"/>
      <c r="N73" s="44"/>
      <c r="O73" s="44"/>
      <c r="R73" s="44"/>
      <c r="S73" s="44"/>
      <c r="T73" s="44"/>
      <c r="U73" s="44"/>
      <c r="V73" s="44"/>
      <c r="W73" s="44"/>
      <c r="X73" s="44"/>
      <c r="Y73" s="44"/>
      <c r="Z73" s="44"/>
      <c r="AA73" s="44"/>
      <c r="AB73" s="44"/>
      <c r="AC73" s="44"/>
    </row>
    <row r="74" spans="2:32" x14ac:dyDescent="0.2">
      <c r="D74" s="44"/>
      <c r="E74" s="44"/>
      <c r="F74" s="275" t="s">
        <v>409</v>
      </c>
      <c r="G74" s="275"/>
      <c r="H74" s="275"/>
      <c r="I74" s="275"/>
      <c r="J74" s="275"/>
      <c r="K74" s="275"/>
      <c r="L74" s="275"/>
      <c r="M74" s="275"/>
      <c r="N74" s="275"/>
      <c r="O74" s="275"/>
      <c r="R74" s="44"/>
      <c r="S74" s="44"/>
      <c r="T74" s="275" t="s">
        <v>409</v>
      </c>
      <c r="V74" s="275"/>
      <c r="W74" s="275"/>
      <c r="X74" s="275"/>
      <c r="Y74" s="275"/>
      <c r="Z74" s="275"/>
      <c r="AA74" s="275"/>
      <c r="AB74" s="275"/>
      <c r="AC74" s="275"/>
      <c r="AD74" s="275"/>
    </row>
    <row r="75" spans="2:32" x14ac:dyDescent="0.2">
      <c r="D75" s="44"/>
      <c r="E75" s="44"/>
      <c r="F75" s="273">
        <v>0.16</v>
      </c>
      <c r="G75" s="273">
        <f t="shared" ref="G75:O75" si="54">+F75+1%</f>
        <v>0.17</v>
      </c>
      <c r="H75" s="273">
        <f t="shared" si="54"/>
        <v>0.18000000000000002</v>
      </c>
      <c r="I75" s="273">
        <f t="shared" si="54"/>
        <v>0.19000000000000003</v>
      </c>
      <c r="J75" s="273">
        <f t="shared" si="54"/>
        <v>0.20000000000000004</v>
      </c>
      <c r="K75" s="273">
        <f t="shared" si="54"/>
        <v>0.21000000000000005</v>
      </c>
      <c r="L75" s="273">
        <f t="shared" si="54"/>
        <v>0.22000000000000006</v>
      </c>
      <c r="M75" s="273">
        <f t="shared" si="54"/>
        <v>0.23000000000000007</v>
      </c>
      <c r="N75" s="273">
        <f t="shared" si="54"/>
        <v>0.24000000000000007</v>
      </c>
      <c r="O75" s="273">
        <f t="shared" si="54"/>
        <v>0.25000000000000006</v>
      </c>
      <c r="R75" s="44"/>
      <c r="S75" s="44"/>
      <c r="T75" s="273">
        <v>0.16</v>
      </c>
      <c r="V75" s="273">
        <f>+T75+1%</f>
        <v>0.17</v>
      </c>
      <c r="W75" s="273">
        <f t="shared" ref="W75:AD75" si="55">+V75+1%</f>
        <v>0.18000000000000002</v>
      </c>
      <c r="X75" s="273">
        <f t="shared" si="55"/>
        <v>0.19000000000000003</v>
      </c>
      <c r="Y75" s="273">
        <f t="shared" si="55"/>
        <v>0.20000000000000004</v>
      </c>
      <c r="Z75" s="273">
        <f t="shared" si="55"/>
        <v>0.21000000000000005</v>
      </c>
      <c r="AA75" s="273">
        <f t="shared" si="55"/>
        <v>0.22000000000000006</v>
      </c>
      <c r="AB75" s="273">
        <f t="shared" si="55"/>
        <v>0.23000000000000007</v>
      </c>
      <c r="AC75" s="273">
        <f t="shared" si="55"/>
        <v>0.24000000000000007</v>
      </c>
      <c r="AD75" s="273">
        <f t="shared" si="55"/>
        <v>0.25000000000000006</v>
      </c>
    </row>
    <row r="76" spans="2:32" x14ac:dyDescent="0.2">
      <c r="D76" s="276"/>
      <c r="E76" s="274">
        <v>7</v>
      </c>
      <c r="F76" s="80">
        <f t="shared" ref="F76:O89" si="56">+$AD$13*(1-F$75)/$E76-$AD$45</f>
        <v>6941.0648034120641</v>
      </c>
      <c r="G76" s="80">
        <f t="shared" si="56"/>
        <v>6587.9369164001437</v>
      </c>
      <c r="H76" s="80">
        <f t="shared" si="56"/>
        <v>6234.809029388216</v>
      </c>
      <c r="I76" s="80">
        <f t="shared" si="56"/>
        <v>5881.6811423762956</v>
      </c>
      <c r="J76" s="80">
        <f t="shared" si="56"/>
        <v>5528.5532553643679</v>
      </c>
      <c r="K76" s="80">
        <f t="shared" si="56"/>
        <v>5175.4253683524475</v>
      </c>
      <c r="L76" s="80">
        <f t="shared" si="56"/>
        <v>4822.2974813405235</v>
      </c>
      <c r="M76" s="80">
        <f t="shared" si="56"/>
        <v>4469.1695943285995</v>
      </c>
      <c r="N76" s="80">
        <f t="shared" si="56"/>
        <v>4116.0417073166755</v>
      </c>
      <c r="O76" s="80">
        <f t="shared" si="56"/>
        <v>3762.9138203047587</v>
      </c>
      <c r="R76" s="276"/>
      <c r="S76" s="274">
        <v>7</v>
      </c>
      <c r="T76" s="187">
        <f>+-F76*0.8/'Simple Model - Case 1'!$L$58</f>
        <v>-7.5870854003050409E-2</v>
      </c>
      <c r="V76" s="187">
        <f>+-G76*0.8/'Simple Model - Case 1'!$L$58</f>
        <v>-7.2010911023305188E-2</v>
      </c>
      <c r="W76" s="187">
        <f>+-H76*0.8/'Simple Model - Case 1'!$L$58</f>
        <v>-6.815096804355987E-2</v>
      </c>
      <c r="X76" s="187">
        <f>+-I76*0.8/'Simple Model - Case 1'!$L$58</f>
        <v>-6.4291025063814636E-2</v>
      </c>
      <c r="Y76" s="187">
        <f>+-J76*0.8/'Simple Model - Case 1'!$L$58</f>
        <v>-6.0431082084069332E-2</v>
      </c>
      <c r="Z76" s="187">
        <f>+-K76*0.8/'Simple Model - Case 1'!$L$58</f>
        <v>-5.6571139104324104E-2</v>
      </c>
      <c r="AA76" s="187">
        <f>+-L76*0.8/'Simple Model - Case 1'!$L$58</f>
        <v>-5.2711196124578842E-2</v>
      </c>
      <c r="AB76" s="187">
        <f>+-M76*0.8/'Simple Model - Case 1'!$L$58</f>
        <v>-4.8851253144833573E-2</v>
      </c>
      <c r="AC76" s="187">
        <f>+-N76*0.8/'Simple Model - Case 1'!$L$58</f>
        <v>-4.4991310165088304E-2</v>
      </c>
      <c r="AD76" s="187">
        <f>+-O76*0.8/'Simple Model - Case 1'!$L$58</f>
        <v>-4.1131367185343118E-2</v>
      </c>
    </row>
    <row r="77" spans="2:32" x14ac:dyDescent="0.2">
      <c r="D77" s="276"/>
      <c r="E77" s="274">
        <f t="shared" ref="E77:E89" si="57">+E76+0.2</f>
        <v>7.2</v>
      </c>
      <c r="F77" s="80">
        <f t="shared" si="56"/>
        <v>6117.0997337175759</v>
      </c>
      <c r="G77" s="80">
        <f t="shared" si="56"/>
        <v>5773.7809546782082</v>
      </c>
      <c r="H77" s="80">
        <f t="shared" si="56"/>
        <v>5430.4621756388369</v>
      </c>
      <c r="I77" s="80">
        <f t="shared" si="56"/>
        <v>5087.1433965994656</v>
      </c>
      <c r="J77" s="80">
        <f t="shared" si="56"/>
        <v>4743.8246175600943</v>
      </c>
      <c r="K77" s="80">
        <f t="shared" si="56"/>
        <v>4400.5058385207267</v>
      </c>
      <c r="L77" s="80">
        <f t="shared" si="56"/>
        <v>4057.1870594813554</v>
      </c>
      <c r="M77" s="80">
        <f t="shared" si="56"/>
        <v>3713.8682804419877</v>
      </c>
      <c r="N77" s="80">
        <f t="shared" si="56"/>
        <v>3370.5495014026164</v>
      </c>
      <c r="O77" s="80">
        <f t="shared" si="56"/>
        <v>3027.2307223632524</v>
      </c>
      <c r="R77" s="276"/>
      <c r="S77" s="274">
        <f t="shared" ref="S77:S89" si="58">+S76+0.2</f>
        <v>7.2</v>
      </c>
      <c r="T77" s="187">
        <f>+-F77*0.8/'Simple Model - Case 1'!$L$58</f>
        <v>-6.6864320383644801E-2</v>
      </c>
      <c r="V77" s="187">
        <f>+-G77*0.8/'Simple Model - Case 1'!$L$58</f>
        <v>-6.3111598042225811E-2</v>
      </c>
      <c r="W77" s="187">
        <f>+-H77*0.8/'Simple Model - Case 1'!$L$58</f>
        <v>-5.93588757008068E-2</v>
      </c>
      <c r="X77" s="187">
        <f>+-I77*0.8/'Simple Model - Case 1'!$L$58</f>
        <v>-5.5606153359387775E-2</v>
      </c>
      <c r="Y77" s="187">
        <f>+-J77*0.8/'Simple Model - Case 1'!$L$58</f>
        <v>-5.1853431017968757E-2</v>
      </c>
      <c r="Z77" s="187">
        <f>+-K77*0.8/'Simple Model - Case 1'!$L$58</f>
        <v>-4.810070867654978E-2</v>
      </c>
      <c r="AA77" s="187">
        <f>+-L77*0.8/'Simple Model - Case 1'!$L$58</f>
        <v>-4.4347986335130762E-2</v>
      </c>
      <c r="AB77" s="187">
        <f>+-M77*0.8/'Simple Model - Case 1'!$L$58</f>
        <v>-4.0595263993711786E-2</v>
      </c>
      <c r="AC77" s="187">
        <f>+-N77*0.8/'Simple Model - Case 1'!$L$58</f>
        <v>-3.6842541652292768E-2</v>
      </c>
      <c r="AD77" s="187">
        <f>+-O77*0.8/'Simple Model - Case 1'!$L$58</f>
        <v>-3.3089819310873826E-2</v>
      </c>
    </row>
    <row r="78" spans="2:32" x14ac:dyDescent="0.2">
      <c r="D78" s="276"/>
      <c r="E78" s="274">
        <f t="shared" si="57"/>
        <v>7.4</v>
      </c>
      <c r="F78" s="80">
        <f t="shared" si="56"/>
        <v>5337.6733164390062</v>
      </c>
      <c r="G78" s="80">
        <f t="shared" si="56"/>
        <v>5003.6334233196212</v>
      </c>
      <c r="H78" s="80">
        <f t="shared" si="56"/>
        <v>4669.5935302002326</v>
      </c>
      <c r="I78" s="80">
        <f t="shared" si="56"/>
        <v>4335.5536370808477</v>
      </c>
      <c r="J78" s="80">
        <f t="shared" si="56"/>
        <v>4001.5137439614591</v>
      </c>
      <c r="K78" s="80">
        <f t="shared" si="56"/>
        <v>3667.4738508420742</v>
      </c>
      <c r="L78" s="80">
        <f t="shared" si="56"/>
        <v>3333.433957722682</v>
      </c>
      <c r="M78" s="80">
        <f t="shared" si="56"/>
        <v>2999.394064603297</v>
      </c>
      <c r="N78" s="80">
        <f t="shared" si="56"/>
        <v>2665.3541714839084</v>
      </c>
      <c r="O78" s="80">
        <f t="shared" si="56"/>
        <v>2331.3142783645271</v>
      </c>
      <c r="R78" s="276"/>
      <c r="S78" s="274">
        <f t="shared" si="58"/>
        <v>7.4</v>
      </c>
      <c r="T78" s="187">
        <f>+-F78*0.8/'Simple Model - Case 1'!$L$58</f>
        <v>-5.8344626419342197E-2</v>
      </c>
      <c r="V78" s="187">
        <f>+-G78*0.8/'Simple Model - Case 1'!$L$58</f>
        <v>-5.4693329006069671E-2</v>
      </c>
      <c r="W78" s="187">
        <f>+-H78*0.8/'Simple Model - Case 1'!$L$58</f>
        <v>-5.1042031592797105E-2</v>
      </c>
      <c r="X78" s="187">
        <f>+-I78*0.8/'Simple Model - Case 1'!$L$58</f>
        <v>-4.739073417952458E-2</v>
      </c>
      <c r="Y78" s="187">
        <f>+-J78*0.8/'Simple Model - Case 1'!$L$58</f>
        <v>-4.373943676625202E-2</v>
      </c>
      <c r="Z78" s="187">
        <f>+-K78*0.8/'Simple Model - Case 1'!$L$58</f>
        <v>-4.0088139352979502E-2</v>
      </c>
      <c r="AA78" s="187">
        <f>+-L78*0.8/'Simple Model - Case 1'!$L$58</f>
        <v>-3.64368419397069E-2</v>
      </c>
      <c r="AB78" s="187">
        <f>+-M78*0.8/'Simple Model - Case 1'!$L$58</f>
        <v>-3.2785544526434375E-2</v>
      </c>
      <c r="AC78" s="187">
        <f>+-N78*0.8/'Simple Model - Case 1'!$L$58</f>
        <v>-2.9134247113161815E-2</v>
      </c>
      <c r="AD78" s="187">
        <f>+-O78*0.8/'Simple Model - Case 1'!$L$58</f>
        <v>-2.5482949699889332E-2</v>
      </c>
    </row>
    <row r="79" spans="2:32" x14ac:dyDescent="0.2">
      <c r="D79" s="276"/>
      <c r="E79" s="274">
        <f t="shared" si="57"/>
        <v>7.6000000000000005</v>
      </c>
      <c r="F79" s="80">
        <f t="shared" si="56"/>
        <v>4599.2693421750992</v>
      </c>
      <c r="G79" s="80">
        <f t="shared" si="56"/>
        <v>4274.0199725588536</v>
      </c>
      <c r="H79" s="80">
        <f t="shared" si="56"/>
        <v>3948.7706029426081</v>
      </c>
      <c r="I79" s="80">
        <f t="shared" si="56"/>
        <v>3623.5212333263626</v>
      </c>
      <c r="J79" s="80">
        <f t="shared" si="56"/>
        <v>3298.271863710117</v>
      </c>
      <c r="K79" s="80">
        <f t="shared" si="56"/>
        <v>2973.0224940938715</v>
      </c>
      <c r="L79" s="80">
        <f t="shared" si="56"/>
        <v>2647.773124477626</v>
      </c>
      <c r="M79" s="80">
        <f t="shared" si="56"/>
        <v>2322.5237548613841</v>
      </c>
      <c r="N79" s="80">
        <f t="shared" si="56"/>
        <v>1997.2743852451349</v>
      </c>
      <c r="O79" s="80">
        <f t="shared" si="56"/>
        <v>1672.0250156288967</v>
      </c>
      <c r="R79" s="276"/>
      <c r="S79" s="274">
        <f t="shared" si="58"/>
        <v>7.6000000000000005</v>
      </c>
      <c r="T79" s="187">
        <f>+-F79*0.8/'Simple Model - Case 1'!$L$58</f>
        <v>-5.0273337400529208E-2</v>
      </c>
      <c r="V79" s="187">
        <f>+-G79*0.8/'Simple Model - Case 1'!$L$58</f>
        <v>-4.6718126761290148E-2</v>
      </c>
      <c r="W79" s="187">
        <f>+-H79*0.8/'Simple Model - Case 1'!$L$58</f>
        <v>-4.3162916122051094E-2</v>
      </c>
      <c r="X79" s="187">
        <f>+-I79*0.8/'Simple Model - Case 1'!$L$58</f>
        <v>-3.9607705482812026E-2</v>
      </c>
      <c r="Y79" s="187">
        <f>+-J79*0.8/'Simple Model - Case 1'!$L$58</f>
        <v>-3.6052494843572973E-2</v>
      </c>
      <c r="Z79" s="187">
        <f>+-K79*0.8/'Simple Model - Case 1'!$L$58</f>
        <v>-3.2497284204333912E-2</v>
      </c>
      <c r="AA79" s="187">
        <f>+-L79*0.8/'Simple Model - Case 1'!$L$58</f>
        <v>-2.8942073565094848E-2</v>
      </c>
      <c r="AB79" s="187">
        <f>+-M79*0.8/'Simple Model - Case 1'!$L$58</f>
        <v>-2.5386862925855829E-2</v>
      </c>
      <c r="AC79" s="187">
        <f>+-N79*0.8/'Simple Model - Case 1'!$L$58</f>
        <v>-2.183165228661673E-2</v>
      </c>
      <c r="AD79" s="187">
        <f>+-O79*0.8/'Simple Model - Case 1'!$L$58</f>
        <v>-1.827644164737775E-2</v>
      </c>
    </row>
    <row r="80" spans="2:32" x14ac:dyDescent="0.2">
      <c r="D80" s="276"/>
      <c r="E80" s="274">
        <f t="shared" si="57"/>
        <v>7.8000000000000007</v>
      </c>
      <c r="F80" s="80">
        <f t="shared" si="56"/>
        <v>3898.7322383862629</v>
      </c>
      <c r="G80" s="80">
        <f t="shared" si="56"/>
        <v>3581.8225961960743</v>
      </c>
      <c r="H80" s="80">
        <f t="shared" si="56"/>
        <v>3264.9129540058857</v>
      </c>
      <c r="I80" s="80">
        <f t="shared" si="56"/>
        <v>2948.0033118157007</v>
      </c>
      <c r="J80" s="80">
        <f t="shared" si="56"/>
        <v>2631.0936696255121</v>
      </c>
      <c r="K80" s="80">
        <f t="shared" si="56"/>
        <v>2314.1840274353235</v>
      </c>
      <c r="L80" s="80">
        <f t="shared" si="56"/>
        <v>1997.2743852451349</v>
      </c>
      <c r="M80" s="80">
        <f t="shared" si="56"/>
        <v>1680.3647430549499</v>
      </c>
      <c r="N80" s="80">
        <f t="shared" si="56"/>
        <v>1363.4551008647613</v>
      </c>
      <c r="O80" s="80">
        <f t="shared" si="56"/>
        <v>1046.5454586745764</v>
      </c>
      <c r="R80" s="276"/>
      <c r="S80" s="274">
        <f t="shared" si="58"/>
        <v>7.8000000000000007</v>
      </c>
      <c r="T80" s="187">
        <f>+-F80*0.8/'Simple Model - Case 1'!$L$58</f>
        <v>-4.261596063909124E-2</v>
      </c>
      <c r="V80" s="187">
        <f>+-G80*0.8/'Simple Model - Case 1'!$L$58</f>
        <v>-3.9151909247012145E-2</v>
      </c>
      <c r="W80" s="187">
        <f>+-H80*0.8/'Simple Model - Case 1'!$L$58</f>
        <v>-3.5687857854933051E-2</v>
      </c>
      <c r="X80" s="187">
        <f>+-I80*0.8/'Simple Model - Case 1'!$L$58</f>
        <v>-3.2223806462853999E-2</v>
      </c>
      <c r="Y80" s="187">
        <f>+-J80*0.8/'Simple Model - Case 1'!$L$58</f>
        <v>-2.8759755070774912E-2</v>
      </c>
      <c r="Z80" s="187">
        <f>+-K80*0.8/'Simple Model - Case 1'!$L$58</f>
        <v>-2.5295703678695821E-2</v>
      </c>
      <c r="AA80" s="187">
        <f>+-L80*0.8/'Simple Model - Case 1'!$L$58</f>
        <v>-2.183165228661673E-2</v>
      </c>
      <c r="AB80" s="187">
        <f>+-M80*0.8/'Simple Model - Case 1'!$L$58</f>
        <v>-1.8367600894537678E-2</v>
      </c>
      <c r="AC80" s="187">
        <f>+-N80*0.8/'Simple Model - Case 1'!$L$58</f>
        <v>-1.4903549502458587E-2</v>
      </c>
      <c r="AD80" s="187">
        <f>+-O80*0.8/'Simple Model - Case 1'!$L$58</f>
        <v>-1.1439498110379536E-2</v>
      </c>
    </row>
    <row r="81" spans="4:30" x14ac:dyDescent="0.2">
      <c r="D81" s="276"/>
      <c r="E81" s="274">
        <f t="shared" si="57"/>
        <v>8</v>
      </c>
      <c r="F81" s="80">
        <f t="shared" si="56"/>
        <v>3233.2219897868708</v>
      </c>
      <c r="G81" s="80">
        <f t="shared" si="56"/>
        <v>2924.2350886514396</v>
      </c>
      <c r="H81" s="80">
        <f t="shared" si="56"/>
        <v>2615.2481875160047</v>
      </c>
      <c r="I81" s="80">
        <f t="shared" si="56"/>
        <v>2306.2612863805734</v>
      </c>
      <c r="J81" s="80">
        <f t="shared" si="56"/>
        <v>1997.2743852451385</v>
      </c>
      <c r="K81" s="80">
        <f t="shared" si="56"/>
        <v>1688.2874841097073</v>
      </c>
      <c r="L81" s="80">
        <f t="shared" si="56"/>
        <v>1379.3005829742724</v>
      </c>
      <c r="M81" s="80">
        <f t="shared" si="56"/>
        <v>1070.3136818388411</v>
      </c>
      <c r="N81" s="80">
        <f t="shared" si="56"/>
        <v>761.32678070340626</v>
      </c>
      <c r="O81" s="80">
        <f t="shared" si="56"/>
        <v>452.33987956797864</v>
      </c>
      <c r="R81" s="276"/>
      <c r="S81" s="274">
        <f t="shared" si="58"/>
        <v>8</v>
      </c>
      <c r="T81" s="187">
        <f>+-F81*0.8/'Simple Model - Case 1'!$L$58</f>
        <v>-3.534145271572519E-2</v>
      </c>
      <c r="V81" s="187">
        <f>+-G81*0.8/'Simple Model - Case 1'!$L$58</f>
        <v>-3.1964002608448103E-2</v>
      </c>
      <c r="W81" s="187">
        <f>+-H81*0.8/'Simple Model - Case 1'!$L$58</f>
        <v>-2.8586552501170981E-2</v>
      </c>
      <c r="X81" s="187">
        <f>+-I81*0.8/'Simple Model - Case 1'!$L$58</f>
        <v>-2.5209102393893897E-2</v>
      </c>
      <c r="Y81" s="187">
        <f>+-J81*0.8/'Simple Model - Case 1'!$L$58</f>
        <v>-2.1831652286616772E-2</v>
      </c>
      <c r="Z81" s="187">
        <f>+-K81*0.8/'Simple Model - Case 1'!$L$58</f>
        <v>-1.8454202179339685E-2</v>
      </c>
      <c r="AA81" s="187">
        <f>+-L81*0.8/'Simple Model - Case 1'!$L$58</f>
        <v>-1.507675207206256E-2</v>
      </c>
      <c r="AB81" s="187">
        <f>+-M81*0.8/'Simple Model - Case 1'!$L$58</f>
        <v>-1.1699301964785474E-2</v>
      </c>
      <c r="AC81" s="187">
        <f>+-N81*0.8/'Simple Model - Case 1'!$L$58</f>
        <v>-8.321851857508349E-3</v>
      </c>
      <c r="AD81" s="187">
        <f>+-O81*0.8/'Simple Model - Case 1'!$L$58</f>
        <v>-4.9444017502313043E-3</v>
      </c>
    </row>
    <row r="82" spans="4:30" x14ac:dyDescent="0.2">
      <c r="D82" s="279" t="s">
        <v>541</v>
      </c>
      <c r="E82" s="274">
        <f t="shared" si="57"/>
        <v>8.1999999999999993</v>
      </c>
      <c r="F82" s="80">
        <f t="shared" si="56"/>
        <v>2600.1756557533045</v>
      </c>
      <c r="G82" s="80">
        <f t="shared" si="56"/>
        <v>2298.7250204992233</v>
      </c>
      <c r="H82" s="80">
        <f t="shared" si="56"/>
        <v>1997.2743852451422</v>
      </c>
      <c r="I82" s="80">
        <f t="shared" si="56"/>
        <v>1695.823749991061</v>
      </c>
      <c r="J82" s="80">
        <f t="shared" si="56"/>
        <v>1394.3731147369799</v>
      </c>
      <c r="K82" s="80">
        <f t="shared" si="56"/>
        <v>1092.9224794828988</v>
      </c>
      <c r="L82" s="80">
        <f t="shared" si="56"/>
        <v>791.47184422881764</v>
      </c>
      <c r="M82" s="80">
        <f t="shared" si="56"/>
        <v>490.02120897473651</v>
      </c>
      <c r="N82" s="80">
        <f t="shared" si="56"/>
        <v>188.57057372065537</v>
      </c>
      <c r="O82" s="80">
        <f t="shared" si="56"/>
        <v>-112.88006153342212</v>
      </c>
      <c r="R82" s="279" t="s">
        <v>541</v>
      </c>
      <c r="S82" s="274">
        <f t="shared" si="58"/>
        <v>8.1999999999999993</v>
      </c>
      <c r="T82" s="187">
        <f>+-F82*0.8/'Simple Model - Case 1'!$L$58</f>
        <v>-2.842179883740141E-2</v>
      </c>
      <c r="V82" s="187">
        <f>+-G82*0.8/'Simple Model - Case 1'!$L$58</f>
        <v>-2.5126725562009105E-2</v>
      </c>
      <c r="W82" s="187">
        <f>+-H82*0.8/'Simple Model - Case 1'!$L$58</f>
        <v>-2.183165228661681E-2</v>
      </c>
      <c r="X82" s="187">
        <f>+-I82*0.8/'Simple Model - Case 1'!$L$58</f>
        <v>-1.8536579011224512E-2</v>
      </c>
      <c r="Y82" s="187">
        <f>+-J82*0.8/'Simple Model - Case 1'!$L$58</f>
        <v>-1.5241505735832214E-2</v>
      </c>
      <c r="Z82" s="187">
        <f>+-K82*0.8/'Simple Model - Case 1'!$L$58</f>
        <v>-1.1946432460439914E-2</v>
      </c>
      <c r="AA82" s="187">
        <f>+-L82*0.8/'Simple Model - Case 1'!$L$58</f>
        <v>-8.6513591850476152E-3</v>
      </c>
      <c r="AB82" s="187">
        <f>+-M82*0.8/'Simple Model - Case 1'!$L$58</f>
        <v>-5.3562859096553169E-3</v>
      </c>
      <c r="AC82" s="187">
        <f>+-N82*0.8/'Simple Model - Case 1'!$L$58</f>
        <v>-2.0612126342630177E-3</v>
      </c>
      <c r="AD82" s="187">
        <f>+-O82*0.8/'Simple Model - Case 1'!$L$58</f>
        <v>1.2338606411292407E-3</v>
      </c>
    </row>
    <row r="83" spans="4:30" x14ac:dyDescent="0.2">
      <c r="D83" s="279" t="s">
        <v>542</v>
      </c>
      <c r="E83" s="274">
        <f t="shared" si="57"/>
        <v>8.3999999999999986</v>
      </c>
      <c r="F83" s="80">
        <f t="shared" si="56"/>
        <v>1997.2743852451458</v>
      </c>
      <c r="G83" s="80">
        <f t="shared" si="56"/>
        <v>1703.0011460685419</v>
      </c>
      <c r="H83" s="80">
        <f t="shared" si="56"/>
        <v>1408.7279068919379</v>
      </c>
      <c r="I83" s="80">
        <f t="shared" si="56"/>
        <v>1114.4546677153376</v>
      </c>
      <c r="J83" s="80">
        <f t="shared" si="56"/>
        <v>820.1814285387336</v>
      </c>
      <c r="K83" s="80">
        <f t="shared" si="56"/>
        <v>525.90818936212963</v>
      </c>
      <c r="L83" s="80">
        <f t="shared" si="56"/>
        <v>231.63495018552567</v>
      </c>
      <c r="M83" s="80">
        <f t="shared" si="56"/>
        <v>-62.63828899107466</v>
      </c>
      <c r="N83" s="80">
        <f t="shared" si="56"/>
        <v>-356.91152816767863</v>
      </c>
      <c r="O83" s="80">
        <f t="shared" si="56"/>
        <v>-651.18476734427895</v>
      </c>
      <c r="R83" s="279" t="s">
        <v>542</v>
      </c>
      <c r="S83" s="274">
        <f t="shared" si="58"/>
        <v>8.3999999999999986</v>
      </c>
      <c r="T83" s="187">
        <f>+-F83*0.8/'Simple Model - Case 1'!$L$58</f>
        <v>-2.1831652286616848E-2</v>
      </c>
      <c r="V83" s="187">
        <f>+-G83*0.8/'Simple Model - Case 1'!$L$58</f>
        <v>-1.8615033136829121E-2</v>
      </c>
      <c r="W83" s="187">
        <f>+-H83*0.8/'Simple Model - Case 1'!$L$58</f>
        <v>-1.5398413987041389E-2</v>
      </c>
      <c r="X83" s="187">
        <f>+-I83*0.8/'Simple Model - Case 1'!$L$58</f>
        <v>-1.2181794837253698E-2</v>
      </c>
      <c r="Y83" s="187">
        <f>+-J83*0.8/'Simple Model - Case 1'!$L$58</f>
        <v>-8.9651756874659684E-3</v>
      </c>
      <c r="Z83" s="187">
        <f>+-K83*0.8/'Simple Model - Case 1'!$L$58</f>
        <v>-5.7485565376782372E-3</v>
      </c>
      <c r="AA83" s="187">
        <f>+-L83*0.8/'Simple Model - Case 1'!$L$58</f>
        <v>-2.5319373878905063E-3</v>
      </c>
      <c r="AB83" s="187">
        <f>+-M83*0.8/'Simple Model - Case 1'!$L$58</f>
        <v>6.8468176189718426E-4</v>
      </c>
      <c r="AC83" s="187">
        <f>+-N83*0.8/'Simple Model - Case 1'!$L$58</f>
        <v>3.9013009116849145E-3</v>
      </c>
      <c r="AD83" s="187">
        <f>+-O83*0.8/'Simple Model - Case 1'!$L$58</f>
        <v>7.1179200614726055E-3</v>
      </c>
    </row>
    <row r="84" spans="4:30" x14ac:dyDescent="0.2">
      <c r="D84" s="276"/>
      <c r="E84" s="274">
        <f t="shared" si="57"/>
        <v>8.5999999999999979</v>
      </c>
      <c r="F84" s="80">
        <f t="shared" si="56"/>
        <v>1422.4150342955036</v>
      </c>
      <c r="G84" s="80">
        <f t="shared" si="56"/>
        <v>1134.9853588206824</v>
      </c>
      <c r="H84" s="80">
        <f t="shared" si="56"/>
        <v>847.55568334586133</v>
      </c>
      <c r="I84" s="80">
        <f t="shared" si="56"/>
        <v>560.1260078710402</v>
      </c>
      <c r="J84" s="80">
        <f t="shared" si="56"/>
        <v>272.69633239621908</v>
      </c>
      <c r="K84" s="80">
        <f t="shared" si="56"/>
        <v>-14.733343078602047</v>
      </c>
      <c r="L84" s="80">
        <f t="shared" si="56"/>
        <v>-302.16301855342681</v>
      </c>
      <c r="M84" s="80">
        <f t="shared" si="56"/>
        <v>-589.5926940282443</v>
      </c>
      <c r="N84" s="80">
        <f t="shared" si="56"/>
        <v>-877.02236950306906</v>
      </c>
      <c r="O84" s="80">
        <f t="shared" si="56"/>
        <v>-1164.4520449778865</v>
      </c>
      <c r="R84" s="276"/>
      <c r="S84" s="274">
        <f t="shared" si="58"/>
        <v>8.5999999999999979</v>
      </c>
      <c r="T84" s="187">
        <f>+-F84*0.8/'Simple Model - Case 1'!$L$58</f>
        <v>-1.55480241800548E-2</v>
      </c>
      <c r="V84" s="187">
        <f>+-G84*0.8/'Simple Model - Case 1'!$L$58</f>
        <v>-1.2406210126773776E-2</v>
      </c>
      <c r="W84" s="187">
        <f>+-H84*0.8/'Simple Model - Case 1'!$L$58</f>
        <v>-9.2643960734927529E-3</v>
      </c>
      <c r="X84" s="187">
        <f>+-I84*0.8/'Simple Model - Case 1'!$L$58</f>
        <v>-6.1225820202117278E-3</v>
      </c>
      <c r="Y84" s="187">
        <f>+-J84*0.8/'Simple Model - Case 1'!$L$58</f>
        <v>-2.980767966930704E-3</v>
      </c>
      <c r="Z84" s="187">
        <f>+-K84*0.8/'Simple Model - Case 1'!$L$58</f>
        <v>1.6104608635032042E-4</v>
      </c>
      <c r="AA84" s="187">
        <f>+-L84*0.8/'Simple Model - Case 1'!$L$58</f>
        <v>3.3028601396313845E-3</v>
      </c>
      <c r="AB84" s="187">
        <f>+-M84*0.8/'Simple Model - Case 1'!$L$58</f>
        <v>6.4446741929123684E-3</v>
      </c>
      <c r="AC84" s="187">
        <f>+-N84*0.8/'Simple Model - Case 1'!$L$58</f>
        <v>9.5864882461934326E-3</v>
      </c>
      <c r="AD84" s="187">
        <f>+-O84*0.8/'Simple Model - Case 1'!$L$58</f>
        <v>1.2728302299474418E-2</v>
      </c>
    </row>
    <row r="85" spans="4:30" x14ac:dyDescent="0.2">
      <c r="D85" s="276"/>
      <c r="E85" s="274">
        <f t="shared" si="57"/>
        <v>8.7999999999999972</v>
      </c>
      <c r="F85" s="80">
        <f t="shared" si="56"/>
        <v>873.68565384357498</v>
      </c>
      <c r="G85" s="80">
        <f t="shared" si="56"/>
        <v>592.78847099318227</v>
      </c>
      <c r="H85" s="80">
        <f t="shared" si="56"/>
        <v>311.89128814278592</v>
      </c>
      <c r="I85" s="80">
        <f t="shared" si="56"/>
        <v>30.994105292393215</v>
      </c>
      <c r="J85" s="80">
        <f t="shared" si="56"/>
        <v>-249.9030775579995</v>
      </c>
      <c r="K85" s="80">
        <f t="shared" si="56"/>
        <v>-530.80026040839221</v>
      </c>
      <c r="L85" s="80">
        <f t="shared" si="56"/>
        <v>-811.69744325878855</v>
      </c>
      <c r="M85" s="80">
        <f t="shared" si="56"/>
        <v>-1092.5946261091813</v>
      </c>
      <c r="N85" s="80">
        <f t="shared" si="56"/>
        <v>-1373.4918089595776</v>
      </c>
      <c r="O85" s="80">
        <f t="shared" si="56"/>
        <v>-1654.3889918099667</v>
      </c>
      <c r="R85" s="276"/>
      <c r="S85" s="274">
        <f t="shared" si="58"/>
        <v>8.7999999999999972</v>
      </c>
      <c r="T85" s="187">
        <f>+-F85*0.8/'Simple Model - Case 1'!$L$58</f>
        <v>-9.5500155328819662E-3</v>
      </c>
      <c r="V85" s="187">
        <f>+-G85*0.8/'Simple Model - Case 1'!$L$58</f>
        <v>-6.479606344448244E-3</v>
      </c>
      <c r="W85" s="187">
        <f>+-H85*0.8/'Simple Model - Case 1'!$L$58</f>
        <v>-3.4091971560144835E-3</v>
      </c>
      <c r="X85" s="187">
        <f>+-I85*0.8/'Simple Model - Case 1'!$L$58</f>
        <v>-3.3878796758076243E-4</v>
      </c>
      <c r="Y85" s="187">
        <f>+-J85*0.8/'Simple Model - Case 1'!$L$58</f>
        <v>2.7316212208529584E-3</v>
      </c>
      <c r="Z85" s="187">
        <f>+-K85*0.8/'Simple Model - Case 1'!$L$58</f>
        <v>5.8020304092866798E-3</v>
      </c>
      <c r="AA85" s="187">
        <f>+-L85*0.8/'Simple Model - Case 1'!$L$58</f>
        <v>8.8724395977204419E-3</v>
      </c>
      <c r="AB85" s="187">
        <f>+-M85*0.8/'Simple Model - Case 1'!$L$58</f>
        <v>1.1942848786154162E-2</v>
      </c>
      <c r="AC85" s="187">
        <f>+-N85*0.8/'Simple Model - Case 1'!$L$58</f>
        <v>1.5013257974587923E-2</v>
      </c>
      <c r="AD85" s="187">
        <f>+-O85*0.8/'Simple Model - Case 1'!$L$58</f>
        <v>1.8083667163021604E-2</v>
      </c>
    </row>
    <row r="86" spans="4:30" x14ac:dyDescent="0.2">
      <c r="D86" s="276"/>
      <c r="E86" s="274">
        <f t="shared" si="57"/>
        <v>8.9999999999999964</v>
      </c>
      <c r="F86" s="80">
        <f t="shared" si="56"/>
        <v>349.34424585617307</v>
      </c>
      <c r="G86" s="80">
        <f t="shared" si="56"/>
        <v>74.689222624678223</v>
      </c>
      <c r="H86" s="80">
        <f t="shared" si="56"/>
        <v>-199.96580060681663</v>
      </c>
      <c r="I86" s="80">
        <f t="shared" si="56"/>
        <v>-474.62082383831148</v>
      </c>
      <c r="J86" s="80">
        <f t="shared" si="56"/>
        <v>-749.27584706980997</v>
      </c>
      <c r="K86" s="80">
        <f t="shared" si="56"/>
        <v>-1023.9308703013048</v>
      </c>
      <c r="L86" s="80">
        <f t="shared" si="56"/>
        <v>-1298.5858935328033</v>
      </c>
      <c r="M86" s="80">
        <f t="shared" si="56"/>
        <v>-1573.2409167642982</v>
      </c>
      <c r="N86" s="80">
        <f t="shared" si="56"/>
        <v>-1847.8959399957967</v>
      </c>
      <c r="O86" s="80">
        <f t="shared" si="56"/>
        <v>-2122.5509632272879</v>
      </c>
      <c r="R86" s="276"/>
      <c r="S86" s="274">
        <f t="shared" si="58"/>
        <v>8.9999999999999964</v>
      </c>
      <c r="T86" s="187">
        <f>+-F86*0.8/'Simple Model - Case 1'!$L$58</f>
        <v>-3.818585047805662E-3</v>
      </c>
      <c r="V86" s="187">
        <f>+-G86*0.8/'Simple Model - Case 1'!$L$58</f>
        <v>-8.1640717467047091E-4</v>
      </c>
      <c r="W86" s="187">
        <f>+-H86*0.8/'Simple Model - Case 1'!$L$58</f>
        <v>2.1857706984647206E-3</v>
      </c>
      <c r="X86" s="187">
        <f>+-I86*0.8/'Simple Model - Case 1'!$L$58</f>
        <v>5.1879485715999119E-3</v>
      </c>
      <c r="Y86" s="187">
        <f>+-J86*0.8/'Simple Model - Case 1'!$L$58</f>
        <v>8.1901264447351418E-3</v>
      </c>
      <c r="Z86" s="187">
        <f>+-K86*0.8/'Simple Model - Case 1'!$L$58</f>
        <v>1.1192304317870334E-2</v>
      </c>
      <c r="AA86" s="187">
        <f>+-L86*0.8/'Simple Model - Case 1'!$L$58</f>
        <v>1.4194482191005565E-2</v>
      </c>
      <c r="AB86" s="187">
        <f>+-M86*0.8/'Simple Model - Case 1'!$L$58</f>
        <v>1.7196660064140754E-2</v>
      </c>
      <c r="AC86" s="187">
        <f>+-N86*0.8/'Simple Model - Case 1'!$L$58</f>
        <v>2.0198837937275987E-2</v>
      </c>
      <c r="AD86" s="187">
        <f>+-O86*0.8/'Simple Model - Case 1'!$L$58</f>
        <v>2.3201015810411139E-2</v>
      </c>
    </row>
    <row r="87" spans="4:30" x14ac:dyDescent="0.2">
      <c r="D87" s="276"/>
      <c r="E87" s="274">
        <f t="shared" si="57"/>
        <v>9.1999999999999957</v>
      </c>
      <c r="F87" s="80">
        <f t="shared" si="56"/>
        <v>-152.19970961003492</v>
      </c>
      <c r="G87" s="80">
        <f t="shared" si="56"/>
        <v>-420.88397146693023</v>
      </c>
      <c r="H87" s="80">
        <f t="shared" si="56"/>
        <v>-689.56823332382919</v>
      </c>
      <c r="I87" s="80">
        <f t="shared" si="56"/>
        <v>-958.25249518072815</v>
      </c>
      <c r="J87" s="80">
        <f t="shared" si="56"/>
        <v>-1226.9367570376271</v>
      </c>
      <c r="K87" s="80">
        <f t="shared" si="56"/>
        <v>-1495.6210188945261</v>
      </c>
      <c r="L87" s="80">
        <f t="shared" si="56"/>
        <v>-1764.305280751425</v>
      </c>
      <c r="M87" s="80">
        <f t="shared" si="56"/>
        <v>-2032.9895426083203</v>
      </c>
      <c r="N87" s="80">
        <f t="shared" si="56"/>
        <v>-2301.6738044652229</v>
      </c>
      <c r="O87" s="80">
        <f t="shared" si="56"/>
        <v>-2570.3580663221146</v>
      </c>
      <c r="R87" s="276"/>
      <c r="S87" s="274">
        <f t="shared" si="58"/>
        <v>9.1999999999999957</v>
      </c>
      <c r="T87" s="187">
        <f>+-F87*0.8/'Simple Model - Case 1'!$L$58</f>
        <v>1.663652807484687E-3</v>
      </c>
      <c r="V87" s="187">
        <f>+-G87*0.8/'Simple Model - Case 1'!$L$58</f>
        <v>4.600565944247354E-3</v>
      </c>
      <c r="W87" s="187">
        <f>+-H87*0.8/'Simple Model - Case 1'!$L$58</f>
        <v>7.5374790810100612E-3</v>
      </c>
      <c r="X87" s="187">
        <f>+-I87*0.8/'Simple Model - Case 1'!$L$58</f>
        <v>1.0474392217772768E-2</v>
      </c>
      <c r="Y87" s="187">
        <f>+-J87*0.8/'Simple Model - Case 1'!$L$58</f>
        <v>1.3411305354535476E-2</v>
      </c>
      <c r="Z87" s="187">
        <f>+-K87*0.8/'Simple Model - Case 1'!$L$58</f>
        <v>1.634821849129818E-2</v>
      </c>
      <c r="AA87" s="187">
        <f>+-L87*0.8/'Simple Model - Case 1'!$L$58</f>
        <v>1.9285131628060889E-2</v>
      </c>
      <c r="AB87" s="187">
        <f>+-M87*0.8/'Simple Model - Case 1'!$L$58</f>
        <v>2.2222044764823555E-2</v>
      </c>
      <c r="AC87" s="187">
        <f>+-N87*0.8/'Simple Model - Case 1'!$L$58</f>
        <v>2.5158957901586305E-2</v>
      </c>
      <c r="AD87" s="187">
        <f>+-O87*0.8/'Simple Model - Case 1'!$L$58</f>
        <v>2.809587103834893E-2</v>
      </c>
    </row>
    <row r="88" spans="4:30" x14ac:dyDescent="0.2">
      <c r="D88" s="277"/>
      <c r="E88" s="274">
        <f t="shared" si="57"/>
        <v>9.399999999999995</v>
      </c>
      <c r="F88" s="80">
        <f t="shared" si="56"/>
        <v>-632.40136909895591</v>
      </c>
      <c r="G88" s="80">
        <f t="shared" si="56"/>
        <v>-895.36894453336572</v>
      </c>
      <c r="H88" s="80">
        <f t="shared" si="56"/>
        <v>-1158.3365199677792</v>
      </c>
      <c r="I88" s="80">
        <f t="shared" si="56"/>
        <v>-1421.304095402189</v>
      </c>
      <c r="J88" s="80">
        <f t="shared" si="56"/>
        <v>-1684.2716708366024</v>
      </c>
      <c r="K88" s="80">
        <f t="shared" si="56"/>
        <v>-1947.2392462710122</v>
      </c>
      <c r="L88" s="80">
        <f t="shared" si="56"/>
        <v>-2210.2068217054257</v>
      </c>
      <c r="M88" s="80">
        <f t="shared" si="56"/>
        <v>-2473.1743971398355</v>
      </c>
      <c r="N88" s="80">
        <f t="shared" si="56"/>
        <v>-2736.1419725742453</v>
      </c>
      <c r="O88" s="80">
        <f t="shared" si="56"/>
        <v>-2999.1095480086551</v>
      </c>
      <c r="R88" s="277"/>
      <c r="S88" s="274">
        <f t="shared" si="58"/>
        <v>9.399999999999995</v>
      </c>
      <c r="T88" s="187">
        <f>+-F88*0.8/'Simple Model - Case 1'!$L$58</f>
        <v>6.9126039455286213E-3</v>
      </c>
      <c r="V88" s="187">
        <f>+-G88*0.8/'Simple Model - Case 1'!$L$58</f>
        <v>9.7870295687431646E-3</v>
      </c>
      <c r="W88" s="187">
        <f>+-H88*0.8/'Simple Model - Case 1'!$L$58</f>
        <v>1.2661455191957747E-2</v>
      </c>
      <c r="X88" s="187">
        <f>+-I88*0.8/'Simple Model - Case 1'!$L$58</f>
        <v>1.5535880815172289E-2</v>
      </c>
      <c r="Y88" s="187">
        <f>+-J88*0.8/'Simple Model - Case 1'!$L$58</f>
        <v>1.8410306438386873E-2</v>
      </c>
      <c r="Z88" s="187">
        <f>+-K88*0.8/'Simple Model - Case 1'!$L$58</f>
        <v>2.1284732061601416E-2</v>
      </c>
      <c r="AA88" s="187">
        <f>+-L88*0.8/'Simple Model - Case 1'!$L$58</f>
        <v>2.4159157684816E-2</v>
      </c>
      <c r="AB88" s="187">
        <f>+-M88*0.8/'Simple Model - Case 1'!$L$58</f>
        <v>2.7033583308030542E-2</v>
      </c>
      <c r="AC88" s="187">
        <f>+-N88*0.8/'Simple Model - Case 1'!$L$58</f>
        <v>2.9908008931245088E-2</v>
      </c>
      <c r="AD88" s="187">
        <f>+-O88*0.8/'Simple Model - Case 1'!$L$58</f>
        <v>3.2782434554459623E-2</v>
      </c>
    </row>
    <row r="89" spans="4:30" x14ac:dyDescent="0.2">
      <c r="D89" s="277"/>
      <c r="E89" s="274">
        <f t="shared" si="57"/>
        <v>9.5999999999999943</v>
      </c>
      <c r="F89" s="80">
        <f t="shared" si="56"/>
        <v>-1092.594626109174</v>
      </c>
      <c r="G89" s="80">
        <f t="shared" si="56"/>
        <v>-1350.0837103887025</v>
      </c>
      <c r="H89" s="80">
        <f t="shared" si="56"/>
        <v>-1607.5727946682309</v>
      </c>
      <c r="I89" s="80">
        <f t="shared" si="56"/>
        <v>-1865.0618789477558</v>
      </c>
      <c r="J89" s="80">
        <f t="shared" si="56"/>
        <v>-2122.5509632272842</v>
      </c>
      <c r="K89" s="80">
        <f t="shared" si="56"/>
        <v>-2380.0400475068127</v>
      </c>
      <c r="L89" s="80">
        <f t="shared" si="56"/>
        <v>-2637.5291317863412</v>
      </c>
      <c r="M89" s="80">
        <f t="shared" si="56"/>
        <v>-2895.018216065866</v>
      </c>
      <c r="N89" s="80">
        <f t="shared" si="56"/>
        <v>-3152.5073003453945</v>
      </c>
      <c r="O89" s="80">
        <f t="shared" si="56"/>
        <v>-3409.9963846249193</v>
      </c>
      <c r="R89" s="277"/>
      <c r="S89" s="274">
        <f t="shared" si="58"/>
        <v>9.5999999999999943</v>
      </c>
      <c r="T89" s="187">
        <f>+-F89*0.8/'Simple Model - Case 1'!$L$58</f>
        <v>1.1942848786154082E-2</v>
      </c>
      <c r="V89" s="187">
        <f>+-G89*0.8/'Simple Model - Case 1'!$L$58</f>
        <v>1.4757390542218345E-2</v>
      </c>
      <c r="W89" s="187">
        <f>+-H89*0.8/'Simple Model - Case 1'!$L$58</f>
        <v>1.7571932298282609E-2</v>
      </c>
      <c r="X89" s="187">
        <f>+-I89*0.8/'Simple Model - Case 1'!$L$58</f>
        <v>2.0386474054346834E-2</v>
      </c>
      <c r="Y89" s="187">
        <f>+-J89*0.8/'Simple Model - Case 1'!$L$58</f>
        <v>2.3201015810411098E-2</v>
      </c>
      <c r="Z89" s="187">
        <f>+-K89*0.8/'Simple Model - Case 1'!$L$58</f>
        <v>2.6015557566475361E-2</v>
      </c>
      <c r="AA89" s="187">
        <f>+-L89*0.8/'Simple Model - Case 1'!$L$58</f>
        <v>2.8830099322539625E-2</v>
      </c>
      <c r="AB89" s="187">
        <f>+-M89*0.8/'Simple Model - Case 1'!$L$58</f>
        <v>3.1644641078603847E-2</v>
      </c>
      <c r="AC89" s="187">
        <f>+-N89*0.8/'Simple Model - Case 1'!$L$58</f>
        <v>3.4459182834668117E-2</v>
      </c>
      <c r="AD89" s="187">
        <f>+-O89*0.8/'Simple Model - Case 1'!$L$58</f>
        <v>3.7273724590732339E-2</v>
      </c>
    </row>
    <row r="97" spans="1:32" x14ac:dyDescent="0.2">
      <c r="B97" s="52" t="s">
        <v>493</v>
      </c>
      <c r="C97" s="53"/>
    </row>
    <row r="99" spans="1:32" x14ac:dyDescent="0.2">
      <c r="B99" t="s">
        <v>494</v>
      </c>
      <c r="D99" s="64">
        <f t="shared" ref="D99:P99" si="59">+D11</f>
        <v>22580</v>
      </c>
      <c r="E99" s="64">
        <f t="shared" si="59"/>
        <v>24085</v>
      </c>
      <c r="F99" s="64">
        <f t="shared" si="59"/>
        <v>25050</v>
      </c>
      <c r="G99" s="64">
        <f t="shared" si="59"/>
        <v>25584</v>
      </c>
      <c r="H99" s="64">
        <f t="shared" si="59"/>
        <v>27094</v>
      </c>
      <c r="I99" s="64">
        <f t="shared" si="59"/>
        <v>28996</v>
      </c>
      <c r="J99" s="64">
        <f t="shared" si="59"/>
        <v>31438</v>
      </c>
      <c r="K99" s="64">
        <f t="shared" si="59"/>
        <v>34330</v>
      </c>
      <c r="L99" s="64">
        <f t="shared" si="59"/>
        <v>37282</v>
      </c>
      <c r="M99" s="64">
        <f t="shared" si="59"/>
        <v>40824</v>
      </c>
      <c r="N99" s="64">
        <f t="shared" si="59"/>
        <v>44662</v>
      </c>
      <c r="O99" s="64">
        <f t="shared" si="59"/>
        <v>46838</v>
      </c>
      <c r="P99" s="64">
        <f t="shared" si="59"/>
        <v>51882</v>
      </c>
      <c r="U99" s="64">
        <f t="shared" ref="U99:AA101" si="60">+U11</f>
        <v>7998</v>
      </c>
      <c r="V99" s="64">
        <f t="shared" si="60"/>
        <v>13017</v>
      </c>
      <c r="W99" s="64">
        <f t="shared" si="60"/>
        <v>17004</v>
      </c>
      <c r="X99" s="64">
        <f t="shared" si="60"/>
        <v>22003</v>
      </c>
      <c r="Y99" s="64">
        <f t="shared" si="60"/>
        <v>25584</v>
      </c>
      <c r="Z99" s="64">
        <f t="shared" si="60"/>
        <v>34330</v>
      </c>
      <c r="AA99" s="64">
        <f t="shared" si="60"/>
        <v>46838</v>
      </c>
    </row>
    <row r="100" spans="1:32" ht="13.5" x14ac:dyDescent="0.35">
      <c r="B100" t="s">
        <v>495</v>
      </c>
      <c r="D100" s="65">
        <f t="shared" ref="D100:P100" si="61">+D12</f>
        <v>41630</v>
      </c>
      <c r="E100" s="65">
        <f t="shared" si="61"/>
        <v>44559</v>
      </c>
      <c r="F100" s="65">
        <f t="shared" si="61"/>
        <v>47325</v>
      </c>
      <c r="G100" s="65">
        <f t="shared" si="61"/>
        <v>52305</v>
      </c>
      <c r="H100" s="65">
        <f t="shared" si="61"/>
        <v>55941</v>
      </c>
      <c r="I100" s="65">
        <f t="shared" si="61"/>
        <v>61026</v>
      </c>
      <c r="J100" s="65">
        <f t="shared" si="61"/>
        <v>65693</v>
      </c>
      <c r="K100" s="65">
        <f t="shared" si="61"/>
        <v>70163</v>
      </c>
      <c r="L100" s="65">
        <f t="shared" si="61"/>
        <v>73853</v>
      </c>
      <c r="M100" s="65">
        <f t="shared" si="61"/>
        <v>76078</v>
      </c>
      <c r="N100" s="65">
        <f t="shared" si="61"/>
        <v>77958</v>
      </c>
      <c r="O100" s="65">
        <f t="shared" si="61"/>
        <v>82883</v>
      </c>
      <c r="P100" s="65">
        <f t="shared" si="61"/>
        <v>82936</v>
      </c>
      <c r="U100" s="65">
        <f t="shared" si="60"/>
        <v>10339</v>
      </c>
      <c r="V100" s="65">
        <f t="shared" si="60"/>
        <v>18556</v>
      </c>
      <c r="W100" s="65">
        <f t="shared" si="60"/>
        <v>28982</v>
      </c>
      <c r="X100" s="65">
        <f t="shared" si="60"/>
        <v>39048</v>
      </c>
      <c r="Y100" s="65">
        <f t="shared" si="60"/>
        <v>52305</v>
      </c>
      <c r="Z100" s="65">
        <f t="shared" si="60"/>
        <v>70163</v>
      </c>
      <c r="AA100" s="65">
        <f t="shared" si="60"/>
        <v>82883</v>
      </c>
    </row>
    <row r="101" spans="1:32" x14ac:dyDescent="0.2">
      <c r="B101" s="110" t="s">
        <v>391</v>
      </c>
      <c r="D101" s="111">
        <f t="shared" ref="D101:P101" si="62">+D13</f>
        <v>64210</v>
      </c>
      <c r="E101" s="111">
        <f t="shared" si="62"/>
        <v>68644</v>
      </c>
      <c r="F101" s="111">
        <f t="shared" si="62"/>
        <v>72375</v>
      </c>
      <c r="G101" s="111">
        <f t="shared" si="62"/>
        <v>77889</v>
      </c>
      <c r="H101" s="111">
        <f t="shared" si="62"/>
        <v>83035</v>
      </c>
      <c r="I101" s="111">
        <f t="shared" si="62"/>
        <v>90022</v>
      </c>
      <c r="J101" s="111">
        <f t="shared" si="62"/>
        <v>97131</v>
      </c>
      <c r="K101" s="111">
        <f t="shared" si="62"/>
        <v>104493</v>
      </c>
      <c r="L101" s="111">
        <f t="shared" si="62"/>
        <v>111135</v>
      </c>
      <c r="M101" s="111">
        <f t="shared" si="62"/>
        <v>116902</v>
      </c>
      <c r="N101" s="111">
        <f t="shared" si="62"/>
        <v>122620</v>
      </c>
      <c r="O101" s="111">
        <f t="shared" si="62"/>
        <v>129721</v>
      </c>
      <c r="P101" s="111">
        <f t="shared" si="62"/>
        <v>134818</v>
      </c>
      <c r="Q101" s="118">
        <f>+P101+Q119</f>
        <v>142991</v>
      </c>
      <c r="R101" s="118">
        <f>+Q101+R119</f>
        <v>151249</v>
      </c>
      <c r="S101" s="118">
        <f>+R101+S119</f>
        <v>165674</v>
      </c>
      <c r="U101" s="111">
        <f t="shared" si="60"/>
        <v>18337</v>
      </c>
      <c r="V101" s="111">
        <f t="shared" si="60"/>
        <v>31573</v>
      </c>
      <c r="W101" s="111">
        <f t="shared" si="60"/>
        <v>45986</v>
      </c>
      <c r="X101" s="111">
        <f t="shared" si="60"/>
        <v>61051</v>
      </c>
      <c r="Y101" s="111">
        <f t="shared" si="60"/>
        <v>77889</v>
      </c>
      <c r="Z101" s="111">
        <f t="shared" si="60"/>
        <v>104493</v>
      </c>
      <c r="AA101" s="111">
        <f t="shared" si="60"/>
        <v>129721</v>
      </c>
      <c r="AB101" s="111">
        <f>+S101</f>
        <v>165674</v>
      </c>
      <c r="AC101" s="118">
        <f>+AC108</f>
        <v>229151.28393501302</v>
      </c>
      <c r="AD101" s="118">
        <f>+AD108</f>
        <v>298124.6662658425</v>
      </c>
      <c r="AE101" s="118"/>
      <c r="AF101" s="118"/>
    </row>
    <row r="102" spans="1:32" s="44" customFormat="1" x14ac:dyDescent="0.2">
      <c r="A102" s="254"/>
      <c r="B102" s="101" t="s">
        <v>514</v>
      </c>
      <c r="D102" s="120">
        <f t="shared" ref="D102:P102" si="63">+IFERROR(D99/D101,"n/a")</f>
        <v>0.35165862015262422</v>
      </c>
      <c r="E102" s="120">
        <f t="shared" si="63"/>
        <v>0.35086824777110892</v>
      </c>
      <c r="F102" s="120">
        <f t="shared" si="63"/>
        <v>0.34611398963730572</v>
      </c>
      <c r="G102" s="120">
        <f t="shared" si="63"/>
        <v>0.32846743442591381</v>
      </c>
      <c r="H102" s="120">
        <f t="shared" si="63"/>
        <v>0.32629614018185105</v>
      </c>
      <c r="I102" s="120">
        <f t="shared" si="63"/>
        <v>0.32209904245628845</v>
      </c>
      <c r="J102" s="120">
        <f t="shared" si="63"/>
        <v>0.32366597687658932</v>
      </c>
      <c r="K102" s="120">
        <f t="shared" si="63"/>
        <v>0.32853875379212005</v>
      </c>
      <c r="L102" s="120">
        <f t="shared" si="63"/>
        <v>0.33546587483691004</v>
      </c>
      <c r="M102" s="120">
        <f t="shared" si="63"/>
        <v>0.34921558228259569</v>
      </c>
      <c r="N102" s="120">
        <f t="shared" si="63"/>
        <v>0.36423095742945688</v>
      </c>
      <c r="O102" s="120">
        <f t="shared" si="63"/>
        <v>0.36106721348124049</v>
      </c>
      <c r="P102" s="120">
        <f t="shared" si="63"/>
        <v>0.38482991885356554</v>
      </c>
      <c r="Q102" s="120"/>
      <c r="R102" s="118"/>
      <c r="S102" s="118"/>
      <c r="T102" s="113"/>
      <c r="U102" s="113"/>
      <c r="V102" s="120">
        <f t="shared" ref="V102:AA102" si="64">+IFERROR(V99/V101,"n/a")</f>
        <v>0.41228264656510311</v>
      </c>
      <c r="W102" s="120">
        <f t="shared" si="64"/>
        <v>0.36976471099899971</v>
      </c>
      <c r="X102" s="120">
        <f t="shared" si="64"/>
        <v>0.36040359699267827</v>
      </c>
      <c r="Y102" s="120">
        <f t="shared" si="64"/>
        <v>0.32846743442591381</v>
      </c>
      <c r="Z102" s="120">
        <f t="shared" si="64"/>
        <v>0.32853875379212005</v>
      </c>
      <c r="AA102" s="120">
        <f t="shared" si="64"/>
        <v>0.36106721348124049</v>
      </c>
      <c r="AB102" s="111"/>
      <c r="AC102" s="118"/>
      <c r="AD102" s="118"/>
      <c r="AE102" s="118"/>
      <c r="AF102" s="118"/>
    </row>
    <row r="103" spans="1:32" s="44" customFormat="1" x14ac:dyDescent="0.2">
      <c r="A103" s="254"/>
      <c r="B103" s="110"/>
      <c r="D103" s="113"/>
      <c r="E103" s="113"/>
      <c r="F103" s="113"/>
      <c r="G103" s="113"/>
      <c r="H103" s="113"/>
      <c r="I103" s="113"/>
      <c r="J103" s="113"/>
      <c r="K103" s="113"/>
      <c r="L103" s="113"/>
      <c r="M103" s="113"/>
      <c r="N103" s="113"/>
      <c r="O103" s="113"/>
      <c r="P103" s="113"/>
      <c r="Q103" s="118"/>
      <c r="R103" s="118"/>
      <c r="S103" s="118"/>
      <c r="T103" s="113"/>
      <c r="U103" s="113"/>
      <c r="V103" s="113"/>
      <c r="W103" s="113"/>
      <c r="X103" s="113"/>
      <c r="Y103" s="113"/>
      <c r="Z103" s="113"/>
      <c r="AA103" s="113"/>
      <c r="AB103" s="111"/>
      <c r="AC103" s="118"/>
      <c r="AD103" s="118"/>
      <c r="AE103" s="118"/>
      <c r="AF103" s="118"/>
    </row>
    <row r="104" spans="1:32" s="44" customFormat="1" x14ac:dyDescent="0.2">
      <c r="A104" s="254"/>
      <c r="B104" s="62" t="s">
        <v>19</v>
      </c>
      <c r="D104" s="113"/>
      <c r="E104" s="113"/>
      <c r="F104" s="113"/>
      <c r="G104" s="113"/>
      <c r="H104" s="113"/>
      <c r="I104" s="113"/>
      <c r="J104" s="113"/>
      <c r="K104" s="113"/>
      <c r="L104" s="113"/>
      <c r="M104" s="113"/>
      <c r="N104" s="113"/>
      <c r="O104" s="113"/>
      <c r="P104" s="113"/>
      <c r="Q104" s="118"/>
      <c r="R104" s="118"/>
      <c r="S104" s="118"/>
      <c r="T104" s="113"/>
      <c r="U104" s="113"/>
      <c r="V104" s="113"/>
      <c r="W104" s="113"/>
      <c r="X104" s="113"/>
      <c r="Y104" s="113"/>
      <c r="Z104" s="113"/>
      <c r="AA104" s="113"/>
      <c r="AB104" s="111"/>
      <c r="AC104" s="118"/>
      <c r="AD104" s="118"/>
      <c r="AE104" s="118"/>
      <c r="AF104" s="118"/>
    </row>
    <row r="105" spans="1:32" s="44" customFormat="1" x14ac:dyDescent="0.2">
      <c r="A105" s="254"/>
      <c r="B105" s="60" t="s">
        <v>393</v>
      </c>
      <c r="D105" s="100">
        <f>+X101</f>
        <v>61051</v>
      </c>
      <c r="E105" s="100">
        <f t="shared" ref="E105:S105" si="65">+D108</f>
        <v>64210</v>
      </c>
      <c r="F105" s="100">
        <f t="shared" si="65"/>
        <v>68644</v>
      </c>
      <c r="G105" s="100">
        <f t="shared" si="65"/>
        <v>72375</v>
      </c>
      <c r="H105" s="100">
        <f t="shared" si="65"/>
        <v>77889</v>
      </c>
      <c r="I105" s="100">
        <f t="shared" si="65"/>
        <v>83035</v>
      </c>
      <c r="J105" s="100">
        <f t="shared" si="65"/>
        <v>90022</v>
      </c>
      <c r="K105" s="100">
        <f t="shared" si="65"/>
        <v>97131</v>
      </c>
      <c r="L105" s="100">
        <f t="shared" si="65"/>
        <v>104493</v>
      </c>
      <c r="M105" s="100">
        <f t="shared" si="65"/>
        <v>111135</v>
      </c>
      <c r="N105" s="100">
        <f t="shared" si="65"/>
        <v>116902</v>
      </c>
      <c r="O105" s="100">
        <f t="shared" si="65"/>
        <v>122620</v>
      </c>
      <c r="P105" s="100">
        <f t="shared" si="65"/>
        <v>129721</v>
      </c>
      <c r="Q105" s="100">
        <f t="shared" si="65"/>
        <v>134818</v>
      </c>
      <c r="R105" s="100">
        <f t="shared" si="65"/>
        <v>142291</v>
      </c>
      <c r="S105" s="100">
        <f t="shared" si="65"/>
        <v>149849</v>
      </c>
      <c r="T105" s="113"/>
      <c r="U105" s="113"/>
      <c r="V105" s="100">
        <f>+U101</f>
        <v>18337</v>
      </c>
      <c r="W105" s="100">
        <f t="shared" ref="W105:AD105" si="66">+V108</f>
        <v>31573</v>
      </c>
      <c r="X105" s="100">
        <f t="shared" si="66"/>
        <v>45986</v>
      </c>
      <c r="Y105" s="100">
        <f t="shared" si="66"/>
        <v>61051</v>
      </c>
      <c r="Z105" s="100">
        <f t="shared" si="66"/>
        <v>77889</v>
      </c>
      <c r="AA105" s="100">
        <f t="shared" si="66"/>
        <v>104493</v>
      </c>
      <c r="AB105" s="100">
        <f t="shared" si="66"/>
        <v>129721</v>
      </c>
      <c r="AC105" s="100">
        <f t="shared" si="66"/>
        <v>165674</v>
      </c>
      <c r="AD105" s="100">
        <f t="shared" si="66"/>
        <v>229151.28393501302</v>
      </c>
      <c r="AE105" s="100"/>
      <c r="AF105" s="100"/>
    </row>
    <row r="106" spans="1:32" s="44" customFormat="1" x14ac:dyDescent="0.2">
      <c r="A106" s="254"/>
      <c r="B106" s="60" t="s">
        <v>376</v>
      </c>
      <c r="D106" s="100">
        <f t="shared" ref="D106:S106" si="67">+D119</f>
        <v>4272</v>
      </c>
      <c r="E106" s="100">
        <f t="shared" si="67"/>
        <v>4612</v>
      </c>
      <c r="F106" s="100">
        <f t="shared" si="67"/>
        <v>4313</v>
      </c>
      <c r="G106" s="100">
        <f t="shared" si="67"/>
        <v>5370</v>
      </c>
      <c r="H106" s="100">
        <f t="shared" si="67"/>
        <v>5441</v>
      </c>
      <c r="I106" s="100">
        <f t="shared" si="67"/>
        <v>7572</v>
      </c>
      <c r="J106" s="100">
        <f t="shared" si="67"/>
        <v>9375</v>
      </c>
      <c r="K106" s="100">
        <f t="shared" si="67"/>
        <v>9043</v>
      </c>
      <c r="L106" s="100">
        <f t="shared" si="67"/>
        <v>6842</v>
      </c>
      <c r="M106" s="100">
        <f t="shared" si="67"/>
        <v>6216</v>
      </c>
      <c r="N106" s="100">
        <f t="shared" si="67"/>
        <v>6543</v>
      </c>
      <c r="O106" s="100">
        <f t="shared" si="67"/>
        <v>7665</v>
      </c>
      <c r="P106" s="100">
        <f t="shared" si="67"/>
        <v>6400</v>
      </c>
      <c r="Q106" s="100">
        <f t="shared" si="67"/>
        <v>8173</v>
      </c>
      <c r="R106" s="100">
        <f t="shared" si="67"/>
        <v>8258</v>
      </c>
      <c r="S106" s="100">
        <f t="shared" si="67"/>
        <v>14425</v>
      </c>
      <c r="T106" s="113"/>
      <c r="U106" s="113"/>
      <c r="V106" s="100">
        <f t="shared" ref="V106:AD106" si="68">+V119</f>
        <v>13915</v>
      </c>
      <c r="W106" s="100">
        <f t="shared" si="68"/>
        <v>15102</v>
      </c>
      <c r="X106" s="100">
        <f t="shared" si="68"/>
        <v>15115</v>
      </c>
      <c r="Y106" s="100">
        <f t="shared" si="68"/>
        <v>18567</v>
      </c>
      <c r="Z106" s="100">
        <f t="shared" si="68"/>
        <v>31431</v>
      </c>
      <c r="AA106" s="100">
        <f t="shared" si="68"/>
        <v>27266</v>
      </c>
      <c r="AB106" s="100">
        <f t="shared" si="68"/>
        <v>37256</v>
      </c>
      <c r="AC106" s="100">
        <f t="shared" si="68"/>
        <v>66477.283935013023</v>
      </c>
      <c r="AD106" s="100">
        <f t="shared" si="68"/>
        <v>71973.382330829481</v>
      </c>
      <c r="AE106" s="100"/>
      <c r="AF106" s="100"/>
    </row>
    <row r="107" spans="1:32" s="44" customFormat="1" ht="13.5" x14ac:dyDescent="0.35">
      <c r="A107" s="254"/>
      <c r="B107" s="60" t="s">
        <v>33</v>
      </c>
      <c r="D107" s="102">
        <f t="shared" ref="D107:P107" si="69">+D108-SUM(D105:D106)</f>
        <v>-1113</v>
      </c>
      <c r="E107" s="102">
        <f t="shared" si="69"/>
        <v>-178</v>
      </c>
      <c r="F107" s="102">
        <f t="shared" si="69"/>
        <v>-582</v>
      </c>
      <c r="G107" s="102">
        <f t="shared" si="69"/>
        <v>144</v>
      </c>
      <c r="H107" s="102">
        <f t="shared" si="69"/>
        <v>-295</v>
      </c>
      <c r="I107" s="102">
        <f t="shared" si="69"/>
        <v>-585</v>
      </c>
      <c r="J107" s="102">
        <f t="shared" si="69"/>
        <v>-2266</v>
      </c>
      <c r="K107" s="102">
        <f t="shared" si="69"/>
        <v>-1681</v>
      </c>
      <c r="L107" s="102">
        <f t="shared" si="69"/>
        <v>-200</v>
      </c>
      <c r="M107" s="102">
        <f t="shared" si="69"/>
        <v>-449</v>
      </c>
      <c r="N107" s="102">
        <f t="shared" si="69"/>
        <v>-825</v>
      </c>
      <c r="O107" s="102">
        <f t="shared" si="69"/>
        <v>-564</v>
      </c>
      <c r="P107" s="102">
        <f t="shared" si="69"/>
        <v>-1303</v>
      </c>
      <c r="Q107" s="103">
        <v>-700</v>
      </c>
      <c r="R107" s="103">
        <v>-700</v>
      </c>
      <c r="S107" s="103">
        <v>-700</v>
      </c>
      <c r="T107" s="113"/>
      <c r="U107" s="113"/>
      <c r="V107" s="102">
        <f t="shared" ref="V107:AB107" si="70">+V108-SUM(V105:V106)</f>
        <v>-679</v>
      </c>
      <c r="W107" s="102">
        <f t="shared" si="70"/>
        <v>-689</v>
      </c>
      <c r="X107" s="102">
        <f t="shared" si="70"/>
        <v>-50</v>
      </c>
      <c r="Y107" s="102">
        <f t="shared" si="70"/>
        <v>-1729</v>
      </c>
      <c r="Z107" s="102">
        <f t="shared" si="70"/>
        <v>-4827</v>
      </c>
      <c r="AA107" s="102">
        <f t="shared" si="70"/>
        <v>-2038</v>
      </c>
      <c r="AB107" s="102">
        <f t="shared" si="70"/>
        <v>-1303</v>
      </c>
      <c r="AC107" s="103">
        <v>-3000</v>
      </c>
      <c r="AD107" s="103">
        <v>-3000</v>
      </c>
      <c r="AE107" s="103"/>
      <c r="AF107" s="103"/>
    </row>
    <row r="108" spans="1:32" s="44" customFormat="1" x14ac:dyDescent="0.2">
      <c r="A108" s="254"/>
      <c r="B108" s="101" t="s">
        <v>392</v>
      </c>
      <c r="D108" s="100">
        <f t="shared" ref="D108:P108" si="71">+D101</f>
        <v>64210</v>
      </c>
      <c r="E108" s="100">
        <f t="shared" si="71"/>
        <v>68644</v>
      </c>
      <c r="F108" s="100">
        <f t="shared" si="71"/>
        <v>72375</v>
      </c>
      <c r="G108" s="100">
        <f t="shared" si="71"/>
        <v>77889</v>
      </c>
      <c r="H108" s="100">
        <f t="shared" si="71"/>
        <v>83035</v>
      </c>
      <c r="I108" s="100">
        <f t="shared" si="71"/>
        <v>90022</v>
      </c>
      <c r="J108" s="100">
        <f t="shared" si="71"/>
        <v>97131</v>
      </c>
      <c r="K108" s="100">
        <f t="shared" si="71"/>
        <v>104493</v>
      </c>
      <c r="L108" s="100">
        <f t="shared" si="71"/>
        <v>111135</v>
      </c>
      <c r="M108" s="100">
        <f t="shared" si="71"/>
        <v>116902</v>
      </c>
      <c r="N108" s="100">
        <f t="shared" si="71"/>
        <v>122620</v>
      </c>
      <c r="O108" s="100">
        <f t="shared" si="71"/>
        <v>129721</v>
      </c>
      <c r="P108" s="100">
        <f t="shared" si="71"/>
        <v>134818</v>
      </c>
      <c r="Q108" s="100">
        <f>SUM(Q105:Q107)</f>
        <v>142291</v>
      </c>
      <c r="R108" s="100">
        <f>SUM(R105:R107)</f>
        <v>149849</v>
      </c>
      <c r="S108" s="100">
        <f>SUM(S105:S107)</f>
        <v>163574</v>
      </c>
      <c r="T108" s="113"/>
      <c r="U108" s="100">
        <f t="shared" ref="U108:AB108" si="72">+U101</f>
        <v>18337</v>
      </c>
      <c r="V108" s="100">
        <f t="shared" si="72"/>
        <v>31573</v>
      </c>
      <c r="W108" s="100">
        <f t="shared" si="72"/>
        <v>45986</v>
      </c>
      <c r="X108" s="100">
        <f t="shared" si="72"/>
        <v>61051</v>
      </c>
      <c r="Y108" s="100">
        <f t="shared" si="72"/>
        <v>77889</v>
      </c>
      <c r="Z108" s="100">
        <f t="shared" si="72"/>
        <v>104493</v>
      </c>
      <c r="AA108" s="100">
        <f t="shared" si="72"/>
        <v>129721</v>
      </c>
      <c r="AB108" s="100">
        <f t="shared" si="72"/>
        <v>165674</v>
      </c>
      <c r="AC108" s="100">
        <f>SUM(AC105:AC107)</f>
        <v>229151.28393501302</v>
      </c>
      <c r="AD108" s="100">
        <f>SUM(AD105:AD107)</f>
        <v>298124.6662658425</v>
      </c>
      <c r="AE108" s="100"/>
      <c r="AF108" s="100"/>
    </row>
    <row r="109" spans="1:32" s="44" customFormat="1" ht="13.5" x14ac:dyDescent="0.35">
      <c r="A109" s="254"/>
      <c r="B109" s="60" t="s">
        <v>535</v>
      </c>
      <c r="D109" s="102" t="e">
        <f>+#REF!</f>
        <v>#REF!</v>
      </c>
      <c r="E109" s="102" t="e">
        <f>+#REF!</f>
        <v>#REF!</v>
      </c>
      <c r="F109" s="102" t="e">
        <f>+#REF!</f>
        <v>#REF!</v>
      </c>
      <c r="G109" s="102" t="e">
        <f>+#REF!</f>
        <v>#REF!</v>
      </c>
      <c r="H109" s="102" t="e">
        <f>+#REF!</f>
        <v>#REF!</v>
      </c>
      <c r="I109" s="102" t="e">
        <f>+#REF!</f>
        <v>#REF!</v>
      </c>
      <c r="J109" s="102" t="e">
        <f>+#REF!</f>
        <v>#REF!</v>
      </c>
      <c r="K109" s="102" t="e">
        <f>+#REF!</f>
        <v>#REF!</v>
      </c>
      <c r="L109" s="102" t="e">
        <f>+#REF!</f>
        <v>#REF!</v>
      </c>
      <c r="M109" s="102" t="e">
        <f>+#REF!</f>
        <v>#REF!</v>
      </c>
      <c r="N109" s="102" t="e">
        <f>+#REF!</f>
        <v>#REF!</v>
      </c>
      <c r="O109" s="102" t="e">
        <f>+#REF!</f>
        <v>#REF!</v>
      </c>
      <c r="P109" s="102" t="e">
        <f>+#REF!</f>
        <v>#REF!</v>
      </c>
      <c r="Q109" s="102" t="e">
        <f>-Q111*Q108</f>
        <v>#REF!</v>
      </c>
      <c r="R109" s="102" t="e">
        <f>-R111*R108</f>
        <v>#REF!</v>
      </c>
      <c r="S109" s="102" t="e">
        <f>-S111*S108</f>
        <v>#REF!</v>
      </c>
      <c r="T109" s="192">
        <v>0</v>
      </c>
      <c r="U109" s="102" t="e">
        <f>+#REF!</f>
        <v>#REF!</v>
      </c>
      <c r="V109" s="102" t="e">
        <f>+#REF!</f>
        <v>#REF!</v>
      </c>
      <c r="W109" s="102" t="e">
        <f>+#REF!</f>
        <v>#REF!</v>
      </c>
      <c r="X109" s="102" t="e">
        <f>+#REF!</f>
        <v>#REF!</v>
      </c>
      <c r="Y109" s="102" t="e">
        <f>+#REF!</f>
        <v>#REF!</v>
      </c>
      <c r="Z109" s="102" t="e">
        <f>+#REF!</f>
        <v>#REF!</v>
      </c>
      <c r="AA109" s="102" t="e">
        <f>+#REF!</f>
        <v>#REF!</v>
      </c>
      <c r="AB109" s="102" t="e">
        <f>+S109</f>
        <v>#REF!</v>
      </c>
      <c r="AC109" s="102">
        <f>-AC111*AC108</f>
        <v>-45830.256787002611</v>
      </c>
      <c r="AD109" s="102">
        <f>-AD111*AD108</f>
        <v>-56643.686590510079</v>
      </c>
      <c r="AE109" s="102"/>
      <c r="AF109" s="102"/>
    </row>
    <row r="110" spans="1:32" s="44" customFormat="1" x14ac:dyDescent="0.2">
      <c r="A110" s="254"/>
      <c r="B110" s="141" t="s">
        <v>534</v>
      </c>
      <c r="D110" s="271" t="e">
        <f t="shared" ref="D110:S110" si="73">+SUM(D108:D109)</f>
        <v>#REF!</v>
      </c>
      <c r="E110" s="271" t="e">
        <f t="shared" si="73"/>
        <v>#REF!</v>
      </c>
      <c r="F110" s="271" t="e">
        <f t="shared" si="73"/>
        <v>#REF!</v>
      </c>
      <c r="G110" s="271" t="e">
        <f t="shared" si="73"/>
        <v>#REF!</v>
      </c>
      <c r="H110" s="271" t="e">
        <f t="shared" si="73"/>
        <v>#REF!</v>
      </c>
      <c r="I110" s="271" t="e">
        <f t="shared" si="73"/>
        <v>#REF!</v>
      </c>
      <c r="J110" s="271" t="e">
        <f t="shared" si="73"/>
        <v>#REF!</v>
      </c>
      <c r="K110" s="271" t="e">
        <f t="shared" si="73"/>
        <v>#REF!</v>
      </c>
      <c r="L110" s="271" t="e">
        <f t="shared" si="73"/>
        <v>#REF!</v>
      </c>
      <c r="M110" s="271" t="e">
        <f t="shared" si="73"/>
        <v>#REF!</v>
      </c>
      <c r="N110" s="271" t="e">
        <f t="shared" si="73"/>
        <v>#REF!</v>
      </c>
      <c r="O110" s="271" t="e">
        <f t="shared" si="73"/>
        <v>#REF!</v>
      </c>
      <c r="P110" s="271" t="e">
        <f t="shared" si="73"/>
        <v>#REF!</v>
      </c>
      <c r="Q110" s="271" t="e">
        <f t="shared" si="73"/>
        <v>#REF!</v>
      </c>
      <c r="R110" s="271" t="e">
        <f t="shared" si="73"/>
        <v>#REF!</v>
      </c>
      <c r="S110" s="271" t="e">
        <f t="shared" si="73"/>
        <v>#REF!</v>
      </c>
      <c r="T110" s="113"/>
      <c r="U110" s="271" t="e">
        <f t="shared" ref="U110:AA110" si="74">+SUM(U108:U109)</f>
        <v>#REF!</v>
      </c>
      <c r="V110" s="271" t="e">
        <f t="shared" si="74"/>
        <v>#REF!</v>
      </c>
      <c r="W110" s="271" t="e">
        <f t="shared" si="74"/>
        <v>#REF!</v>
      </c>
      <c r="X110" s="271" t="e">
        <f t="shared" si="74"/>
        <v>#REF!</v>
      </c>
      <c r="Y110" s="271" t="e">
        <f t="shared" si="74"/>
        <v>#REF!</v>
      </c>
      <c r="Z110" s="271" t="e">
        <f t="shared" si="74"/>
        <v>#REF!</v>
      </c>
      <c r="AA110" s="271" t="e">
        <f t="shared" si="74"/>
        <v>#REF!</v>
      </c>
      <c r="AB110" s="271" t="e">
        <f>+S110</f>
        <v>#REF!</v>
      </c>
      <c r="AC110" s="271">
        <f>+SUM(AC108:AC109)</f>
        <v>183321.02714801041</v>
      </c>
      <c r="AD110" s="271">
        <f>+SUM(AD108:AD109)</f>
        <v>241480.97967533243</v>
      </c>
      <c r="AE110" s="271"/>
      <c r="AF110" s="271"/>
    </row>
    <row r="111" spans="1:32" s="44" customFormat="1" x14ac:dyDescent="0.2">
      <c r="A111" s="254"/>
      <c r="B111" s="67" t="s">
        <v>536</v>
      </c>
      <c r="D111" s="120" t="e">
        <f t="shared" ref="D111:P111" si="75">-D109/D108</f>
        <v>#REF!</v>
      </c>
      <c r="E111" s="120" t="e">
        <f t="shared" si="75"/>
        <v>#REF!</v>
      </c>
      <c r="F111" s="120" t="e">
        <f t="shared" si="75"/>
        <v>#REF!</v>
      </c>
      <c r="G111" s="120" t="e">
        <f t="shared" si="75"/>
        <v>#REF!</v>
      </c>
      <c r="H111" s="120" t="e">
        <f t="shared" si="75"/>
        <v>#REF!</v>
      </c>
      <c r="I111" s="120" t="e">
        <f t="shared" si="75"/>
        <v>#REF!</v>
      </c>
      <c r="J111" s="120" t="e">
        <f t="shared" si="75"/>
        <v>#REF!</v>
      </c>
      <c r="K111" s="120" t="e">
        <f t="shared" si="75"/>
        <v>#REF!</v>
      </c>
      <c r="L111" s="120" t="e">
        <f t="shared" si="75"/>
        <v>#REF!</v>
      </c>
      <c r="M111" s="120" t="e">
        <f t="shared" si="75"/>
        <v>#REF!</v>
      </c>
      <c r="N111" s="120" t="e">
        <f t="shared" si="75"/>
        <v>#REF!</v>
      </c>
      <c r="O111" s="120" t="e">
        <f t="shared" si="75"/>
        <v>#REF!</v>
      </c>
      <c r="P111" s="120" t="e">
        <f t="shared" si="75"/>
        <v>#REF!</v>
      </c>
      <c r="Q111" s="138" t="e">
        <f>+#REF!</f>
        <v>#REF!</v>
      </c>
      <c r="R111" s="138" t="e">
        <f>+#REF!</f>
        <v>#REF!</v>
      </c>
      <c r="S111" s="138" t="e">
        <f>+#REF!</f>
        <v>#REF!</v>
      </c>
      <c r="T111" s="113"/>
      <c r="U111" s="120" t="e">
        <f t="shared" ref="U111:AB111" si="76">-U109/U108</f>
        <v>#REF!</v>
      </c>
      <c r="V111" s="120" t="e">
        <f t="shared" si="76"/>
        <v>#REF!</v>
      </c>
      <c r="W111" s="120" t="e">
        <f t="shared" si="76"/>
        <v>#REF!</v>
      </c>
      <c r="X111" s="120" t="e">
        <f t="shared" si="76"/>
        <v>#REF!</v>
      </c>
      <c r="Y111" s="120" t="e">
        <f t="shared" si="76"/>
        <v>#REF!</v>
      </c>
      <c r="Z111" s="120" t="e">
        <f t="shared" si="76"/>
        <v>#REF!</v>
      </c>
      <c r="AA111" s="120" t="e">
        <f t="shared" si="76"/>
        <v>#REF!</v>
      </c>
      <c r="AB111" s="120" t="e">
        <f t="shared" si="76"/>
        <v>#REF!</v>
      </c>
      <c r="AC111" s="138">
        <f>+AC16</f>
        <v>0.2</v>
      </c>
      <c r="AD111" s="138">
        <f>+AD16</f>
        <v>0.19</v>
      </c>
      <c r="AE111" s="138"/>
      <c r="AF111" s="138"/>
    </row>
    <row r="112" spans="1:32" s="44" customFormat="1" x14ac:dyDescent="0.2">
      <c r="A112" s="254"/>
      <c r="B112" s="67"/>
      <c r="D112" s="120"/>
      <c r="E112" s="120"/>
      <c r="F112" s="120"/>
      <c r="G112" s="120"/>
      <c r="H112" s="120"/>
      <c r="I112" s="120"/>
      <c r="J112" s="120"/>
      <c r="K112" s="120"/>
      <c r="L112" s="120"/>
      <c r="M112" s="120"/>
      <c r="N112" s="120"/>
      <c r="O112" s="120"/>
      <c r="P112" s="120"/>
      <c r="Q112" s="138"/>
      <c r="R112" s="138"/>
      <c r="S112" s="138"/>
      <c r="T112" s="113"/>
      <c r="U112" s="120"/>
      <c r="V112" s="120"/>
      <c r="W112" s="120"/>
      <c r="X112" s="120"/>
      <c r="Y112" s="120"/>
      <c r="Z112" s="120"/>
      <c r="AA112" s="120"/>
      <c r="AB112" s="120"/>
      <c r="AC112" s="138"/>
      <c r="AD112" s="138"/>
      <c r="AE112" s="138"/>
      <c r="AF112" s="138"/>
    </row>
    <row r="113" spans="1:32" s="44" customFormat="1" x14ac:dyDescent="0.2">
      <c r="A113" s="254"/>
      <c r="B113" s="89" t="s">
        <v>17</v>
      </c>
      <c r="D113" s="120"/>
      <c r="E113" s="120"/>
      <c r="F113" s="120"/>
      <c r="G113" s="120"/>
      <c r="H113" s="120"/>
      <c r="I113" s="120"/>
      <c r="J113" s="120"/>
      <c r="K113" s="120"/>
      <c r="L113" s="120"/>
      <c r="M113" s="120"/>
      <c r="N113" s="120"/>
      <c r="O113" s="120"/>
      <c r="P113" s="120"/>
      <c r="Q113" s="138"/>
      <c r="R113" s="138"/>
      <c r="S113" s="138"/>
      <c r="T113" s="113"/>
      <c r="U113" s="120"/>
      <c r="V113" s="120"/>
      <c r="W113" s="120"/>
      <c r="X113" s="120"/>
      <c r="Y113" s="120"/>
      <c r="Z113" s="120"/>
      <c r="AA113" s="120"/>
      <c r="AB113" s="120"/>
      <c r="AC113" s="138"/>
      <c r="AD113" s="138"/>
      <c r="AE113" s="138"/>
      <c r="AF113" s="138"/>
    </row>
    <row r="114" spans="1:32" s="44" customFormat="1" x14ac:dyDescent="0.2">
      <c r="A114" s="254"/>
      <c r="B114" s="101" t="s">
        <v>392</v>
      </c>
      <c r="D114" s="120"/>
      <c r="E114" s="120"/>
      <c r="F114" s="120"/>
      <c r="G114" s="120"/>
      <c r="H114" s="120">
        <f t="shared" ref="H114:S114" si="77">+IFERROR(H108/D108-1,"n/a")</f>
        <v>0.29317863261174271</v>
      </c>
      <c r="I114" s="120">
        <f t="shared" si="77"/>
        <v>0.31143290018064218</v>
      </c>
      <c r="J114" s="120">
        <f t="shared" si="77"/>
        <v>0.34205181347150249</v>
      </c>
      <c r="K114" s="120">
        <f t="shared" si="77"/>
        <v>0.34156299349073671</v>
      </c>
      <c r="L114" s="120">
        <f t="shared" si="77"/>
        <v>0.33841151321731799</v>
      </c>
      <c r="M114" s="120">
        <f t="shared" si="77"/>
        <v>0.29859367710115303</v>
      </c>
      <c r="N114" s="120">
        <f t="shared" si="77"/>
        <v>0.26241879523530076</v>
      </c>
      <c r="O114" s="120">
        <f t="shared" si="77"/>
        <v>0.24143244045055656</v>
      </c>
      <c r="P114" s="120">
        <f t="shared" si="77"/>
        <v>0.21310118324560223</v>
      </c>
      <c r="Q114" s="120">
        <f t="shared" si="77"/>
        <v>0.21718191305537982</v>
      </c>
      <c r="R114" s="120">
        <f t="shared" si="77"/>
        <v>0.222060022834774</v>
      </c>
      <c r="S114" s="120">
        <f t="shared" si="77"/>
        <v>0.26096776928947518</v>
      </c>
      <c r="T114" s="113"/>
      <c r="U114" s="120"/>
      <c r="V114" s="120">
        <f t="shared" ref="V114:AD114" si="78">+IFERROR(V108/U108-1,"n/a")</f>
        <v>0.72181927250913458</v>
      </c>
      <c r="W114" s="120">
        <f t="shared" si="78"/>
        <v>0.45649764038893981</v>
      </c>
      <c r="X114" s="120">
        <f t="shared" si="78"/>
        <v>0.32759970425781759</v>
      </c>
      <c r="Y114" s="120">
        <f t="shared" si="78"/>
        <v>0.27580219816219231</v>
      </c>
      <c r="Z114" s="120">
        <f t="shared" si="78"/>
        <v>0.34156299349073671</v>
      </c>
      <c r="AA114" s="120">
        <f t="shared" si="78"/>
        <v>0.24143244045055656</v>
      </c>
      <c r="AB114" s="120">
        <f t="shared" si="78"/>
        <v>0.2771563586466339</v>
      </c>
      <c r="AC114" s="120">
        <f t="shared" si="78"/>
        <v>0.38314571951551257</v>
      </c>
      <c r="AD114" s="120">
        <f t="shared" si="78"/>
        <v>0.30099496344253618</v>
      </c>
      <c r="AE114" s="120"/>
      <c r="AF114" s="120"/>
    </row>
    <row r="115" spans="1:32" s="44" customFormat="1" x14ac:dyDescent="0.2">
      <c r="A115" s="254"/>
      <c r="B115" s="101" t="s">
        <v>534</v>
      </c>
      <c r="D115" s="120"/>
      <c r="E115" s="120"/>
      <c r="F115" s="120"/>
      <c r="G115" s="120"/>
      <c r="H115" s="120" t="str">
        <f t="shared" ref="H115:S115" si="79">+IFERROR(H110/D110-1,"n/a")</f>
        <v>n/a</v>
      </c>
      <c r="I115" s="120" t="str">
        <f t="shared" si="79"/>
        <v>n/a</v>
      </c>
      <c r="J115" s="120" t="str">
        <f t="shared" si="79"/>
        <v>n/a</v>
      </c>
      <c r="K115" s="120" t="str">
        <f t="shared" si="79"/>
        <v>n/a</v>
      </c>
      <c r="L115" s="120" t="str">
        <f t="shared" si="79"/>
        <v>n/a</v>
      </c>
      <c r="M115" s="120" t="str">
        <f t="shared" si="79"/>
        <v>n/a</v>
      </c>
      <c r="N115" s="120" t="str">
        <f t="shared" si="79"/>
        <v>n/a</v>
      </c>
      <c r="O115" s="120" t="str">
        <f t="shared" si="79"/>
        <v>n/a</v>
      </c>
      <c r="P115" s="120" t="str">
        <f t="shared" si="79"/>
        <v>n/a</v>
      </c>
      <c r="Q115" s="120" t="str">
        <f t="shared" si="79"/>
        <v>n/a</v>
      </c>
      <c r="R115" s="120" t="str">
        <f t="shared" si="79"/>
        <v>n/a</v>
      </c>
      <c r="S115" s="120" t="str">
        <f t="shared" si="79"/>
        <v>n/a</v>
      </c>
      <c r="T115" s="113"/>
      <c r="U115" s="120"/>
      <c r="V115" s="120" t="str">
        <f t="shared" ref="V115:AD115" si="80">+IFERROR(V110/U110-1,"n/a")</f>
        <v>n/a</v>
      </c>
      <c r="W115" s="120" t="str">
        <f t="shared" si="80"/>
        <v>n/a</v>
      </c>
      <c r="X115" s="120" t="str">
        <f t="shared" si="80"/>
        <v>n/a</v>
      </c>
      <c r="Y115" s="120" t="str">
        <f t="shared" si="80"/>
        <v>n/a</v>
      </c>
      <c r="Z115" s="120" t="str">
        <f t="shared" si="80"/>
        <v>n/a</v>
      </c>
      <c r="AA115" s="120" t="str">
        <f t="shared" si="80"/>
        <v>n/a</v>
      </c>
      <c r="AB115" s="120" t="str">
        <f t="shared" si="80"/>
        <v>n/a</v>
      </c>
      <c r="AC115" s="120" t="str">
        <f t="shared" si="80"/>
        <v>n/a</v>
      </c>
      <c r="AD115" s="120">
        <f t="shared" si="80"/>
        <v>0.31725740048556794</v>
      </c>
      <c r="AE115" s="120"/>
      <c r="AF115" s="120"/>
    </row>
    <row r="117" spans="1:32" x14ac:dyDescent="0.2">
      <c r="B117" t="s">
        <v>496</v>
      </c>
      <c r="D117" s="84" t="str">
        <f t="shared" ref="D117:P117" si="81">+D30</f>
        <v>n/a</v>
      </c>
      <c r="E117" s="84" t="str">
        <f t="shared" si="81"/>
        <v>n/a</v>
      </c>
      <c r="F117" s="84" t="str">
        <f t="shared" si="81"/>
        <v>n/a</v>
      </c>
      <c r="G117" s="84" t="str">
        <f t="shared" si="81"/>
        <v>n/a</v>
      </c>
      <c r="H117" s="84" t="str">
        <f t="shared" si="81"/>
        <v>n/a</v>
      </c>
      <c r="I117" s="84" t="str">
        <f t="shared" si="81"/>
        <v>n/a</v>
      </c>
      <c r="J117" s="84" t="str">
        <f t="shared" si="81"/>
        <v>n/a</v>
      </c>
      <c r="K117" s="84" t="str">
        <f t="shared" si="81"/>
        <v>n/a</v>
      </c>
      <c r="L117" s="84" t="str">
        <f t="shared" si="81"/>
        <v>n/a</v>
      </c>
      <c r="M117" s="84" t="str">
        <f t="shared" si="81"/>
        <v>n/a</v>
      </c>
      <c r="N117" s="84" t="str">
        <f t="shared" si="81"/>
        <v>n/a</v>
      </c>
      <c r="O117" s="84" t="str">
        <f t="shared" si="81"/>
        <v>n/a</v>
      </c>
      <c r="P117" s="84" t="str">
        <f t="shared" si="81"/>
        <v>n/a</v>
      </c>
      <c r="Q117" s="260"/>
      <c r="R117" s="260"/>
      <c r="S117" s="260"/>
      <c r="T117" s="260"/>
      <c r="U117" s="260"/>
      <c r="V117" s="84" t="str">
        <f t="shared" ref="V117:AA119" si="82">+V30</f>
        <v>n/a</v>
      </c>
      <c r="W117" s="84" t="str">
        <f t="shared" si="82"/>
        <v>n/a</v>
      </c>
      <c r="X117" s="84" t="str">
        <f t="shared" si="82"/>
        <v>n/a</v>
      </c>
      <c r="Y117" s="84" t="str">
        <f t="shared" si="82"/>
        <v>n/a</v>
      </c>
      <c r="Z117" s="84" t="str">
        <f t="shared" si="82"/>
        <v>n/a</v>
      </c>
      <c r="AA117" s="84" t="str">
        <f t="shared" si="82"/>
        <v>n/a</v>
      </c>
    </row>
    <row r="118" spans="1:32" ht="13.5" x14ac:dyDescent="0.35">
      <c r="B118" t="s">
        <v>497</v>
      </c>
      <c r="D118" s="86" t="str">
        <f t="shared" ref="D118:P118" si="83">+D31</f>
        <v>n/a</v>
      </c>
      <c r="E118" s="86" t="str">
        <f t="shared" si="83"/>
        <v>n/a</v>
      </c>
      <c r="F118" s="86" t="str">
        <f t="shared" si="83"/>
        <v>n/a</v>
      </c>
      <c r="G118" s="86" t="str">
        <f t="shared" si="83"/>
        <v>n/a</v>
      </c>
      <c r="H118" s="86" t="str">
        <f t="shared" si="83"/>
        <v>n/a</v>
      </c>
      <c r="I118" s="86" t="str">
        <f t="shared" si="83"/>
        <v>n/a</v>
      </c>
      <c r="J118" s="86" t="str">
        <f t="shared" si="83"/>
        <v>n/a</v>
      </c>
      <c r="K118" s="86" t="str">
        <f t="shared" si="83"/>
        <v>n/a</v>
      </c>
      <c r="L118" s="86" t="str">
        <f t="shared" si="83"/>
        <v>n/a</v>
      </c>
      <c r="M118" s="86" t="str">
        <f t="shared" si="83"/>
        <v>n/a</v>
      </c>
      <c r="N118" s="86" t="str">
        <f t="shared" si="83"/>
        <v>n/a</v>
      </c>
      <c r="O118" s="86" t="str">
        <f t="shared" si="83"/>
        <v>n/a</v>
      </c>
      <c r="P118" s="86" t="str">
        <f t="shared" si="83"/>
        <v>n/a</v>
      </c>
      <c r="Q118" s="260"/>
      <c r="R118" s="260"/>
      <c r="S118" s="260"/>
      <c r="T118" s="260"/>
      <c r="U118" s="260"/>
      <c r="V118" s="86" t="str">
        <f t="shared" si="82"/>
        <v>n/a</v>
      </c>
      <c r="W118" s="86" t="str">
        <f t="shared" si="82"/>
        <v>n/a</v>
      </c>
      <c r="X118" s="86" t="str">
        <f t="shared" si="82"/>
        <v>n/a</v>
      </c>
      <c r="Y118" s="86" t="str">
        <f t="shared" si="82"/>
        <v>n/a</v>
      </c>
      <c r="Z118" s="86" t="str">
        <f t="shared" si="82"/>
        <v>n/a</v>
      </c>
      <c r="AA118" s="86" t="str">
        <f t="shared" si="82"/>
        <v>n/a</v>
      </c>
    </row>
    <row r="119" spans="1:32" x14ac:dyDescent="0.2">
      <c r="A119" t="s">
        <v>507</v>
      </c>
      <c r="B119" s="110" t="s">
        <v>498</v>
      </c>
      <c r="D119" s="212">
        <f t="shared" ref="D119:P119" si="84">+D32</f>
        <v>4272</v>
      </c>
      <c r="E119" s="212">
        <f t="shared" si="84"/>
        <v>4612</v>
      </c>
      <c r="F119" s="212">
        <f t="shared" si="84"/>
        <v>4313</v>
      </c>
      <c r="G119" s="212">
        <f t="shared" si="84"/>
        <v>5370</v>
      </c>
      <c r="H119" s="212">
        <f t="shared" si="84"/>
        <v>5441</v>
      </c>
      <c r="I119" s="212">
        <f t="shared" si="84"/>
        <v>7572</v>
      </c>
      <c r="J119" s="212">
        <f t="shared" si="84"/>
        <v>9375</v>
      </c>
      <c r="K119" s="212">
        <f t="shared" si="84"/>
        <v>9043</v>
      </c>
      <c r="L119" s="212">
        <f t="shared" si="84"/>
        <v>6842</v>
      </c>
      <c r="M119" s="212">
        <f t="shared" si="84"/>
        <v>6216</v>
      </c>
      <c r="N119" s="212">
        <f t="shared" si="84"/>
        <v>6543</v>
      </c>
      <c r="O119" s="212">
        <f t="shared" si="84"/>
        <v>7665</v>
      </c>
      <c r="P119" s="212">
        <f t="shared" si="84"/>
        <v>6400</v>
      </c>
      <c r="Q119" s="262">
        <f>_xll.VAData("META_US",Q$1,$A119,"consensus.vaactuals")</f>
        <v>8173</v>
      </c>
      <c r="R119" s="262">
        <f>_xll.VAData("META_US",R$1,$A119,"consensus.vaactuals")</f>
        <v>8258</v>
      </c>
      <c r="S119" s="262">
        <f>_xll.VAData("META_US",S$1,$A119,"consensus.vaactuals")</f>
        <v>14425</v>
      </c>
      <c r="T119" s="260"/>
      <c r="U119" s="260"/>
      <c r="V119" s="212">
        <f t="shared" si="82"/>
        <v>13915</v>
      </c>
      <c r="W119" s="212">
        <f t="shared" si="82"/>
        <v>15102</v>
      </c>
      <c r="X119" s="212">
        <f t="shared" si="82"/>
        <v>15115</v>
      </c>
      <c r="Y119" s="212">
        <f t="shared" si="82"/>
        <v>18567</v>
      </c>
      <c r="Z119" s="212">
        <f t="shared" si="82"/>
        <v>31431</v>
      </c>
      <c r="AA119" s="212">
        <f t="shared" si="82"/>
        <v>27266</v>
      </c>
      <c r="AB119" s="111">
        <f>+SUM(P119:S119)</f>
        <v>37256</v>
      </c>
      <c r="AC119" s="262">
        <f>_xll.VAData("META_US",AC$1,$A119,"consensus.vaactuals")</f>
        <v>66477.283935013023</v>
      </c>
      <c r="AD119" s="262">
        <f>_xll.VAData("META_US",AD$1,$A119,"consensus.vaactuals")</f>
        <v>71973.382330829481</v>
      </c>
      <c r="AE119" s="262"/>
      <c r="AF119" s="262"/>
    </row>
    <row r="120" spans="1:32" x14ac:dyDescent="0.2">
      <c r="B120" s="60" t="s">
        <v>506</v>
      </c>
      <c r="D120" s="203">
        <f t="shared" ref="D120:P120" si="85">+D36</f>
        <v>4423</v>
      </c>
      <c r="E120" s="203">
        <f t="shared" si="85"/>
        <v>4735</v>
      </c>
      <c r="F120" s="203">
        <f t="shared" si="85"/>
        <v>4544</v>
      </c>
      <c r="G120" s="203">
        <f t="shared" si="85"/>
        <v>5542</v>
      </c>
      <c r="H120" s="203">
        <f t="shared" si="85"/>
        <v>5548</v>
      </c>
      <c r="I120" s="203">
        <f t="shared" si="85"/>
        <v>7747</v>
      </c>
      <c r="J120" s="203">
        <f t="shared" si="85"/>
        <v>9518</v>
      </c>
      <c r="K120" s="203">
        <f t="shared" si="85"/>
        <v>9223</v>
      </c>
      <c r="L120" s="203">
        <f t="shared" si="85"/>
        <v>7087</v>
      </c>
      <c r="M120" s="203">
        <f t="shared" si="85"/>
        <v>6354</v>
      </c>
      <c r="N120" s="203">
        <f t="shared" si="85"/>
        <v>6763</v>
      </c>
      <c r="O120" s="203">
        <f t="shared" si="85"/>
        <v>7899</v>
      </c>
      <c r="P120" s="203">
        <f t="shared" si="85"/>
        <v>6715</v>
      </c>
      <c r="Q120" s="266">
        <f>+P120-P119+Q119</f>
        <v>8488</v>
      </c>
      <c r="R120" s="266">
        <f>+Q120-Q119+R119</f>
        <v>8573</v>
      </c>
      <c r="S120" s="266">
        <f>+R120-R119+S119</f>
        <v>14740</v>
      </c>
      <c r="T120" s="261"/>
      <c r="U120" s="261"/>
      <c r="V120" s="203">
        <f t="shared" ref="V120:AA120" si="86">+V36</f>
        <v>13914</v>
      </c>
      <c r="W120" s="203">
        <f t="shared" si="86"/>
        <v>15654</v>
      </c>
      <c r="X120" s="203">
        <f t="shared" si="86"/>
        <v>15718</v>
      </c>
      <c r="Y120" s="203">
        <f t="shared" si="86"/>
        <v>19244</v>
      </c>
      <c r="Z120" s="203">
        <f t="shared" si="86"/>
        <v>32036</v>
      </c>
      <c r="AA120" s="203">
        <f t="shared" si="86"/>
        <v>28103</v>
      </c>
      <c r="AB120" s="95">
        <f>+SUM(P120:S120)</f>
        <v>38516</v>
      </c>
      <c r="AC120" s="266">
        <f>+AB120-AB119+AC119</f>
        <v>67737.283935013023</v>
      </c>
      <c r="AD120" s="266">
        <f>+AC120-AC119+AD119</f>
        <v>73233.382330829481</v>
      </c>
      <c r="AE120" s="266"/>
      <c r="AF120" s="266"/>
    </row>
    <row r="121" spans="1:32" x14ac:dyDescent="0.2">
      <c r="B121" s="60"/>
      <c r="D121" s="115"/>
      <c r="E121" s="115"/>
      <c r="F121" s="115"/>
      <c r="G121" s="115"/>
      <c r="H121" s="115"/>
      <c r="I121" s="115"/>
      <c r="J121" s="115"/>
      <c r="K121" s="115"/>
      <c r="L121" s="115"/>
      <c r="M121" s="115"/>
      <c r="N121" s="115"/>
      <c r="O121" s="115"/>
      <c r="P121" s="115"/>
      <c r="Q121" s="258"/>
      <c r="R121" s="258"/>
      <c r="S121" s="258"/>
      <c r="V121" s="115"/>
      <c r="W121" s="115"/>
      <c r="X121" s="115"/>
      <c r="Y121" s="115"/>
      <c r="Z121" s="115"/>
      <c r="AA121" s="115"/>
      <c r="AB121" s="95"/>
      <c r="AC121" s="258"/>
      <c r="AD121" s="258"/>
      <c r="AE121" s="258"/>
      <c r="AF121" s="258"/>
    </row>
    <row r="122" spans="1:32" x14ac:dyDescent="0.2">
      <c r="B122" s="62" t="s">
        <v>19</v>
      </c>
      <c r="D122" s="115"/>
      <c r="E122" s="115"/>
      <c r="F122" s="115"/>
      <c r="G122" s="115"/>
      <c r="H122" s="115"/>
      <c r="I122" s="115"/>
      <c r="J122" s="115"/>
      <c r="K122" s="115"/>
      <c r="L122" s="115"/>
      <c r="M122" s="115"/>
      <c r="N122" s="115"/>
      <c r="O122" s="115"/>
      <c r="P122" s="115"/>
      <c r="Q122" s="258"/>
      <c r="R122" s="258"/>
      <c r="S122" s="258"/>
      <c r="V122" s="115"/>
      <c r="W122" s="115"/>
      <c r="X122" s="115"/>
      <c r="Y122" s="115"/>
      <c r="Z122" s="115"/>
      <c r="AA122" s="115"/>
      <c r="AB122" s="95"/>
      <c r="AC122" s="258"/>
      <c r="AD122" s="258"/>
      <c r="AE122" s="258"/>
      <c r="AF122" s="258"/>
    </row>
    <row r="123" spans="1:32" x14ac:dyDescent="0.2">
      <c r="B123" s="60" t="s">
        <v>376</v>
      </c>
      <c r="D123" s="100">
        <f t="shared" ref="D123:S123" si="87">+D119</f>
        <v>4272</v>
      </c>
      <c r="E123" s="100">
        <f t="shared" si="87"/>
        <v>4612</v>
      </c>
      <c r="F123" s="100">
        <f t="shared" si="87"/>
        <v>4313</v>
      </c>
      <c r="G123" s="100">
        <f t="shared" si="87"/>
        <v>5370</v>
      </c>
      <c r="H123" s="100">
        <f t="shared" si="87"/>
        <v>5441</v>
      </c>
      <c r="I123" s="100">
        <f t="shared" si="87"/>
        <v>7572</v>
      </c>
      <c r="J123" s="100">
        <f t="shared" si="87"/>
        <v>9375</v>
      </c>
      <c r="K123" s="100">
        <f t="shared" si="87"/>
        <v>9043</v>
      </c>
      <c r="L123" s="100">
        <f t="shared" si="87"/>
        <v>6842</v>
      </c>
      <c r="M123" s="100">
        <f t="shared" si="87"/>
        <v>6216</v>
      </c>
      <c r="N123" s="100">
        <f t="shared" si="87"/>
        <v>6543</v>
      </c>
      <c r="O123" s="100">
        <f t="shared" si="87"/>
        <v>7665</v>
      </c>
      <c r="P123" s="100">
        <f t="shared" si="87"/>
        <v>6400</v>
      </c>
      <c r="Q123" s="100">
        <f t="shared" si="87"/>
        <v>8173</v>
      </c>
      <c r="R123" s="100">
        <f t="shared" si="87"/>
        <v>8258</v>
      </c>
      <c r="S123" s="100">
        <f t="shared" si="87"/>
        <v>14425</v>
      </c>
      <c r="V123" s="100">
        <f t="shared" ref="V123:AD123" si="88">+V119</f>
        <v>13915</v>
      </c>
      <c r="W123" s="100">
        <f t="shared" si="88"/>
        <v>15102</v>
      </c>
      <c r="X123" s="100">
        <f t="shared" si="88"/>
        <v>15115</v>
      </c>
      <c r="Y123" s="100">
        <f t="shared" si="88"/>
        <v>18567</v>
      </c>
      <c r="Z123" s="100">
        <f t="shared" si="88"/>
        <v>31431</v>
      </c>
      <c r="AA123" s="100">
        <f t="shared" si="88"/>
        <v>27266</v>
      </c>
      <c r="AB123" s="100">
        <f t="shared" si="88"/>
        <v>37256</v>
      </c>
      <c r="AC123" s="100">
        <f t="shared" si="88"/>
        <v>66477.283935013023</v>
      </c>
      <c r="AD123" s="100">
        <f t="shared" si="88"/>
        <v>71973.382330829481</v>
      </c>
      <c r="AE123" s="100"/>
      <c r="AF123" s="100"/>
    </row>
    <row r="124" spans="1:32" ht="13.5" x14ac:dyDescent="0.35">
      <c r="B124" s="60" t="s">
        <v>538</v>
      </c>
      <c r="D124" s="102" t="e">
        <f t="shared" ref="D124:S124" si="89">+D125-D123</f>
        <v>#REF!</v>
      </c>
      <c r="E124" s="102" t="e">
        <f t="shared" si="89"/>
        <v>#REF!</v>
      </c>
      <c r="F124" s="102" t="e">
        <f t="shared" si="89"/>
        <v>#REF!</v>
      </c>
      <c r="G124" s="102" t="e">
        <f t="shared" si="89"/>
        <v>#REF!</v>
      </c>
      <c r="H124" s="102" t="e">
        <f t="shared" si="89"/>
        <v>#REF!</v>
      </c>
      <c r="I124" s="102" t="e">
        <f t="shared" si="89"/>
        <v>#REF!</v>
      </c>
      <c r="J124" s="102" t="e">
        <f t="shared" si="89"/>
        <v>#REF!</v>
      </c>
      <c r="K124" s="102" t="e">
        <f t="shared" si="89"/>
        <v>#REF!</v>
      </c>
      <c r="L124" s="102" t="e">
        <f t="shared" si="89"/>
        <v>#REF!</v>
      </c>
      <c r="M124" s="102" t="e">
        <f t="shared" si="89"/>
        <v>#REF!</v>
      </c>
      <c r="N124" s="102" t="e">
        <f t="shared" si="89"/>
        <v>#REF!</v>
      </c>
      <c r="O124" s="102" t="e">
        <f t="shared" si="89"/>
        <v>#REF!</v>
      </c>
      <c r="P124" s="102" t="e">
        <f t="shared" si="89"/>
        <v>#REF!</v>
      </c>
      <c r="Q124" s="102" t="e">
        <f t="shared" si="89"/>
        <v>#REF!</v>
      </c>
      <c r="R124" s="102" t="e">
        <f t="shared" si="89"/>
        <v>#REF!</v>
      </c>
      <c r="S124" s="102" t="e">
        <f t="shared" si="89"/>
        <v>#REF!</v>
      </c>
      <c r="V124" s="102" t="e">
        <f t="shared" ref="V124:AD124" si="90">+V125-V123</f>
        <v>#REF!</v>
      </c>
      <c r="W124" s="102" t="e">
        <f t="shared" si="90"/>
        <v>#REF!</v>
      </c>
      <c r="X124" s="102" t="e">
        <f t="shared" si="90"/>
        <v>#REF!</v>
      </c>
      <c r="Y124" s="102" t="e">
        <f t="shared" si="90"/>
        <v>#REF!</v>
      </c>
      <c r="Z124" s="102" t="e">
        <f t="shared" si="90"/>
        <v>#REF!</v>
      </c>
      <c r="AA124" s="102" t="e">
        <f t="shared" si="90"/>
        <v>#REF!</v>
      </c>
      <c r="AB124" s="102" t="e">
        <f t="shared" si="90"/>
        <v>#REF!</v>
      </c>
      <c r="AC124" s="102" t="e">
        <f t="shared" si="90"/>
        <v>#REF!</v>
      </c>
      <c r="AD124" s="102">
        <f t="shared" si="90"/>
        <v>-13813.429803507461</v>
      </c>
      <c r="AE124" s="102"/>
      <c r="AF124" s="102"/>
    </row>
    <row r="125" spans="1:32" x14ac:dyDescent="0.2">
      <c r="B125" s="101" t="s">
        <v>375</v>
      </c>
      <c r="D125" s="100" t="e">
        <f>+D110-X110</f>
        <v>#REF!</v>
      </c>
      <c r="E125" s="100" t="e">
        <f t="shared" ref="E125:S125" si="91">+E110-D110</f>
        <v>#REF!</v>
      </c>
      <c r="F125" s="100" t="e">
        <f t="shared" si="91"/>
        <v>#REF!</v>
      </c>
      <c r="G125" s="100" t="e">
        <f t="shared" si="91"/>
        <v>#REF!</v>
      </c>
      <c r="H125" s="100" t="e">
        <f t="shared" si="91"/>
        <v>#REF!</v>
      </c>
      <c r="I125" s="100" t="e">
        <f t="shared" si="91"/>
        <v>#REF!</v>
      </c>
      <c r="J125" s="100" t="e">
        <f t="shared" si="91"/>
        <v>#REF!</v>
      </c>
      <c r="K125" s="100" t="e">
        <f t="shared" si="91"/>
        <v>#REF!</v>
      </c>
      <c r="L125" s="100" t="e">
        <f t="shared" si="91"/>
        <v>#REF!</v>
      </c>
      <c r="M125" s="100" t="e">
        <f t="shared" si="91"/>
        <v>#REF!</v>
      </c>
      <c r="N125" s="100" t="e">
        <f t="shared" si="91"/>
        <v>#REF!</v>
      </c>
      <c r="O125" s="100" t="e">
        <f t="shared" si="91"/>
        <v>#REF!</v>
      </c>
      <c r="P125" s="100" t="e">
        <f t="shared" si="91"/>
        <v>#REF!</v>
      </c>
      <c r="Q125" s="100" t="e">
        <f t="shared" si="91"/>
        <v>#REF!</v>
      </c>
      <c r="R125" s="100" t="e">
        <f t="shared" si="91"/>
        <v>#REF!</v>
      </c>
      <c r="S125" s="100" t="e">
        <f t="shared" si="91"/>
        <v>#REF!</v>
      </c>
      <c r="V125" s="100" t="e">
        <f t="shared" ref="V125:AD125" si="92">+V110-U110</f>
        <v>#REF!</v>
      </c>
      <c r="W125" s="100" t="e">
        <f t="shared" si="92"/>
        <v>#REF!</v>
      </c>
      <c r="X125" s="100" t="e">
        <f t="shared" si="92"/>
        <v>#REF!</v>
      </c>
      <c r="Y125" s="100" t="e">
        <f t="shared" si="92"/>
        <v>#REF!</v>
      </c>
      <c r="Z125" s="100" t="e">
        <f t="shared" si="92"/>
        <v>#REF!</v>
      </c>
      <c r="AA125" s="100" t="e">
        <f t="shared" si="92"/>
        <v>#REF!</v>
      </c>
      <c r="AB125" s="100" t="e">
        <f t="shared" si="92"/>
        <v>#REF!</v>
      </c>
      <c r="AC125" s="100" t="e">
        <f t="shared" si="92"/>
        <v>#REF!</v>
      </c>
      <c r="AD125" s="100">
        <f t="shared" si="92"/>
        <v>58159.952527322021</v>
      </c>
      <c r="AE125" s="100"/>
      <c r="AF125" s="100"/>
    </row>
    <row r="126" spans="1:32" x14ac:dyDescent="0.2">
      <c r="B126" s="67" t="s">
        <v>539</v>
      </c>
      <c r="D126" s="120" t="e">
        <f t="shared" ref="D126:S126" si="93">+D125/D123</f>
        <v>#REF!</v>
      </c>
      <c r="E126" s="120" t="e">
        <f t="shared" si="93"/>
        <v>#REF!</v>
      </c>
      <c r="F126" s="120" t="e">
        <f t="shared" si="93"/>
        <v>#REF!</v>
      </c>
      <c r="G126" s="120" t="e">
        <f t="shared" si="93"/>
        <v>#REF!</v>
      </c>
      <c r="H126" s="120" t="e">
        <f t="shared" si="93"/>
        <v>#REF!</v>
      </c>
      <c r="I126" s="120" t="e">
        <f t="shared" si="93"/>
        <v>#REF!</v>
      </c>
      <c r="J126" s="120" t="e">
        <f t="shared" si="93"/>
        <v>#REF!</v>
      </c>
      <c r="K126" s="120" t="e">
        <f t="shared" si="93"/>
        <v>#REF!</v>
      </c>
      <c r="L126" s="120" t="e">
        <f t="shared" si="93"/>
        <v>#REF!</v>
      </c>
      <c r="M126" s="120" t="e">
        <f t="shared" si="93"/>
        <v>#REF!</v>
      </c>
      <c r="N126" s="120" t="e">
        <f t="shared" si="93"/>
        <v>#REF!</v>
      </c>
      <c r="O126" s="120" t="e">
        <f t="shared" si="93"/>
        <v>#REF!</v>
      </c>
      <c r="P126" s="120" t="e">
        <f t="shared" si="93"/>
        <v>#REF!</v>
      </c>
      <c r="Q126" s="120" t="e">
        <f t="shared" si="93"/>
        <v>#REF!</v>
      </c>
      <c r="R126" s="120" t="e">
        <f t="shared" si="93"/>
        <v>#REF!</v>
      </c>
      <c r="S126" s="120" t="e">
        <f t="shared" si="93"/>
        <v>#REF!</v>
      </c>
      <c r="V126" s="120" t="e">
        <f t="shared" ref="V126:AD126" si="94">+V125/V123</f>
        <v>#REF!</v>
      </c>
      <c r="W126" s="120" t="e">
        <f t="shared" si="94"/>
        <v>#REF!</v>
      </c>
      <c r="X126" s="120" t="e">
        <f t="shared" si="94"/>
        <v>#REF!</v>
      </c>
      <c r="Y126" s="120" t="e">
        <f t="shared" si="94"/>
        <v>#REF!</v>
      </c>
      <c r="Z126" s="120" t="e">
        <f t="shared" si="94"/>
        <v>#REF!</v>
      </c>
      <c r="AA126" s="120" t="e">
        <f t="shared" si="94"/>
        <v>#REF!</v>
      </c>
      <c r="AB126" s="120" t="e">
        <f t="shared" si="94"/>
        <v>#REF!</v>
      </c>
      <c r="AC126" s="120" t="e">
        <f t="shared" si="94"/>
        <v>#REF!</v>
      </c>
      <c r="AD126" s="120">
        <f t="shared" si="94"/>
        <v>0.80807585587664488</v>
      </c>
      <c r="AE126" s="120"/>
      <c r="AF126" s="120"/>
    </row>
    <row r="127" spans="1:32" x14ac:dyDescent="0.2">
      <c r="B127" s="67"/>
      <c r="D127" s="120"/>
      <c r="E127" s="120"/>
      <c r="F127" s="120"/>
      <c r="G127" s="120"/>
      <c r="H127" s="120"/>
      <c r="I127" s="120"/>
      <c r="J127" s="120"/>
      <c r="K127" s="120"/>
      <c r="L127" s="120"/>
      <c r="M127" s="120"/>
      <c r="N127" s="120"/>
      <c r="O127" s="120"/>
      <c r="P127" s="120"/>
      <c r="Q127" s="120"/>
      <c r="R127" s="120"/>
      <c r="S127" s="120"/>
      <c r="V127" s="120"/>
      <c r="W127" s="120"/>
      <c r="X127" s="120"/>
      <c r="Y127" s="120"/>
      <c r="Z127" s="120"/>
      <c r="AA127" s="120"/>
      <c r="AB127" s="120"/>
      <c r="AC127" s="120"/>
      <c r="AD127" s="120"/>
      <c r="AE127" s="120"/>
      <c r="AF127" s="120"/>
    </row>
    <row r="128" spans="1:32" x14ac:dyDescent="0.2">
      <c r="B128" s="89" t="s">
        <v>17</v>
      </c>
      <c r="D128" s="120"/>
      <c r="E128" s="120"/>
      <c r="F128" s="120"/>
      <c r="G128" s="120"/>
      <c r="H128" s="120"/>
      <c r="I128" s="120"/>
      <c r="J128" s="120"/>
      <c r="K128" s="120"/>
      <c r="L128" s="120"/>
      <c r="M128" s="120"/>
      <c r="N128" s="120"/>
      <c r="O128" s="120"/>
      <c r="P128" s="120"/>
      <c r="Q128" s="120"/>
      <c r="R128" s="120"/>
      <c r="S128" s="120"/>
      <c r="V128" s="120"/>
      <c r="W128" s="120"/>
      <c r="X128" s="120"/>
      <c r="Y128" s="120"/>
      <c r="Z128" s="120"/>
      <c r="AA128" s="120"/>
      <c r="AB128" s="120"/>
      <c r="AC128" s="120"/>
      <c r="AD128" s="120"/>
      <c r="AE128" s="120"/>
      <c r="AF128" s="120"/>
    </row>
    <row r="129" spans="1:32" x14ac:dyDescent="0.2">
      <c r="B129" s="101" t="s">
        <v>376</v>
      </c>
      <c r="D129" s="120"/>
      <c r="E129" s="120"/>
      <c r="F129" s="120"/>
      <c r="G129" s="120"/>
      <c r="H129" s="120">
        <f t="shared" ref="H129:S129" si="95">+H123/D123-1</f>
        <v>0.27364232209737827</v>
      </c>
      <c r="I129" s="120">
        <f t="shared" si="95"/>
        <v>0.64180398959236773</v>
      </c>
      <c r="J129" s="120">
        <f t="shared" si="95"/>
        <v>1.1736610248087178</v>
      </c>
      <c r="K129" s="120">
        <f t="shared" si="95"/>
        <v>0.68398510242085653</v>
      </c>
      <c r="L129" s="120">
        <f t="shared" si="95"/>
        <v>0.25748943208968944</v>
      </c>
      <c r="M129" s="120">
        <f t="shared" si="95"/>
        <v>-0.17908082408874804</v>
      </c>
      <c r="N129" s="120">
        <f t="shared" si="95"/>
        <v>-0.30208000000000002</v>
      </c>
      <c r="O129" s="120">
        <f t="shared" si="95"/>
        <v>-0.15238305871945146</v>
      </c>
      <c r="P129" s="120">
        <f t="shared" si="95"/>
        <v>-6.4600993861444023E-2</v>
      </c>
      <c r="Q129" s="120">
        <f t="shared" si="95"/>
        <v>0.31483268983268986</v>
      </c>
      <c r="R129" s="120">
        <f t="shared" si="95"/>
        <v>0.26211218095674771</v>
      </c>
      <c r="S129" s="120">
        <f t="shared" si="95"/>
        <v>0.88193085453359421</v>
      </c>
      <c r="V129" s="120"/>
      <c r="W129" s="120">
        <f t="shared" ref="W129:AD129" si="96">+W123/V123-1</f>
        <v>8.5303629177146956E-2</v>
      </c>
      <c r="X129" s="120">
        <f t="shared" si="96"/>
        <v>8.6081313733288312E-4</v>
      </c>
      <c r="Y129" s="120">
        <f t="shared" si="96"/>
        <v>0.22838240158782663</v>
      </c>
      <c r="Z129" s="120">
        <f t="shared" si="96"/>
        <v>0.69284213927936666</v>
      </c>
      <c r="AA129" s="120">
        <f t="shared" si="96"/>
        <v>-0.13251248767140722</v>
      </c>
      <c r="AB129" s="120">
        <f t="shared" si="96"/>
        <v>0.3663903762928189</v>
      </c>
      <c r="AC129" s="120">
        <f t="shared" si="96"/>
        <v>0.78433766198768051</v>
      </c>
      <c r="AD129" s="120">
        <f t="shared" si="96"/>
        <v>8.2676337998245364E-2</v>
      </c>
      <c r="AE129" s="120"/>
      <c r="AF129" s="120"/>
    </row>
    <row r="130" spans="1:32" x14ac:dyDescent="0.2">
      <c r="B130" s="101" t="s">
        <v>375</v>
      </c>
      <c r="D130" s="120"/>
      <c r="E130" s="120"/>
      <c r="F130" s="120"/>
      <c r="G130" s="120"/>
      <c r="H130" s="120" t="e">
        <f t="shared" ref="H130:S130" si="97">+H125/D125-1</f>
        <v>#REF!</v>
      </c>
      <c r="I130" s="120" t="e">
        <f t="shared" si="97"/>
        <v>#REF!</v>
      </c>
      <c r="J130" s="120" t="e">
        <f t="shared" si="97"/>
        <v>#REF!</v>
      </c>
      <c r="K130" s="120" t="e">
        <f t="shared" si="97"/>
        <v>#REF!</v>
      </c>
      <c r="L130" s="120" t="e">
        <f t="shared" si="97"/>
        <v>#REF!</v>
      </c>
      <c r="M130" s="120" t="e">
        <f t="shared" si="97"/>
        <v>#REF!</v>
      </c>
      <c r="N130" s="120" t="e">
        <f t="shared" si="97"/>
        <v>#REF!</v>
      </c>
      <c r="O130" s="120" t="e">
        <f t="shared" si="97"/>
        <v>#REF!</v>
      </c>
      <c r="P130" s="120" t="e">
        <f t="shared" si="97"/>
        <v>#REF!</v>
      </c>
      <c r="Q130" s="120" t="e">
        <f t="shared" si="97"/>
        <v>#REF!</v>
      </c>
      <c r="R130" s="120" t="e">
        <f t="shared" si="97"/>
        <v>#REF!</v>
      </c>
      <c r="S130" s="120" t="e">
        <f t="shared" si="97"/>
        <v>#REF!</v>
      </c>
      <c r="V130" s="120"/>
      <c r="W130" s="120" t="e">
        <f t="shared" ref="W130:AD130" si="98">+W125/V125-1</f>
        <v>#REF!</v>
      </c>
      <c r="X130" s="120" t="e">
        <f t="shared" si="98"/>
        <v>#REF!</v>
      </c>
      <c r="Y130" s="120" t="e">
        <f t="shared" si="98"/>
        <v>#REF!</v>
      </c>
      <c r="Z130" s="120" t="e">
        <f t="shared" si="98"/>
        <v>#REF!</v>
      </c>
      <c r="AA130" s="120" t="e">
        <f t="shared" si="98"/>
        <v>#REF!</v>
      </c>
      <c r="AB130" s="120" t="e">
        <f t="shared" si="98"/>
        <v>#REF!</v>
      </c>
      <c r="AC130" s="120" t="e">
        <f t="shared" si="98"/>
        <v>#REF!</v>
      </c>
      <c r="AD130" s="120" t="e">
        <f t="shared" si="98"/>
        <v>#REF!</v>
      </c>
      <c r="AE130" s="120"/>
      <c r="AF130" s="120"/>
    </row>
    <row r="131" spans="1:32" x14ac:dyDescent="0.2">
      <c r="B131" s="60"/>
    </row>
    <row r="132" spans="1:32" x14ac:dyDescent="0.2">
      <c r="B132" t="s">
        <v>500</v>
      </c>
      <c r="D132" s="84" t="str">
        <f t="shared" ref="D132:P132" si="99">+D43</f>
        <v>n/a</v>
      </c>
      <c r="E132" s="84" t="str">
        <f t="shared" si="99"/>
        <v>n/a</v>
      </c>
      <c r="F132" s="84" t="str">
        <f t="shared" si="99"/>
        <v>n/a</v>
      </c>
      <c r="G132" s="84" t="str">
        <f t="shared" si="99"/>
        <v>n/a</v>
      </c>
      <c r="H132" s="84">
        <f t="shared" si="99"/>
        <v>1360</v>
      </c>
      <c r="I132" s="84">
        <f t="shared" si="99"/>
        <v>1200</v>
      </c>
      <c r="J132" s="84">
        <f t="shared" si="99"/>
        <v>1360</v>
      </c>
      <c r="K132" s="84">
        <f t="shared" si="99"/>
        <v>1370</v>
      </c>
      <c r="L132" s="84">
        <f t="shared" si="99"/>
        <v>1510</v>
      </c>
      <c r="M132" s="84">
        <f t="shared" si="99"/>
        <v>1710</v>
      </c>
      <c r="N132" s="84">
        <f t="shared" si="99"/>
        <v>1940</v>
      </c>
      <c r="O132" s="84">
        <f t="shared" si="99"/>
        <v>2160</v>
      </c>
      <c r="P132" s="84">
        <f t="shared" si="99"/>
        <v>2350</v>
      </c>
      <c r="Q132" s="260"/>
      <c r="R132" s="260"/>
      <c r="S132" s="260"/>
      <c r="T132" s="260"/>
      <c r="U132" s="260"/>
      <c r="V132" s="84" t="str">
        <f t="shared" ref="V132:AA135" si="100">+V43</f>
        <v>n/a</v>
      </c>
      <c r="W132" s="84">
        <f t="shared" si="100"/>
        <v>3690</v>
      </c>
      <c r="X132" s="84">
        <f t="shared" si="100"/>
        <v>4380</v>
      </c>
      <c r="Y132" s="84">
        <f t="shared" si="100"/>
        <v>4940</v>
      </c>
      <c r="Z132" s="84">
        <f t="shared" si="100"/>
        <v>5290</v>
      </c>
      <c r="AA132" s="84">
        <f t="shared" si="100"/>
        <v>7320</v>
      </c>
    </row>
    <row r="133" spans="1:32" ht="13.5" x14ac:dyDescent="0.35">
      <c r="B133" t="s">
        <v>501</v>
      </c>
      <c r="D133" s="86" t="str">
        <f t="shared" ref="D133:P133" si="101">+D44</f>
        <v>n/a</v>
      </c>
      <c r="E133" s="86" t="str">
        <f t="shared" si="101"/>
        <v>n/a</v>
      </c>
      <c r="F133" s="86" t="str">
        <f t="shared" si="101"/>
        <v>n/a</v>
      </c>
      <c r="G133" s="86" t="str">
        <f t="shared" si="101"/>
        <v>n/a</v>
      </c>
      <c r="H133" s="86">
        <f t="shared" si="101"/>
        <v>760</v>
      </c>
      <c r="I133" s="86">
        <f t="shared" si="101"/>
        <v>730</v>
      </c>
      <c r="J133" s="86">
        <f t="shared" si="101"/>
        <v>770</v>
      </c>
      <c r="K133" s="86">
        <f t="shared" si="101"/>
        <v>950.00000000000045</v>
      </c>
      <c r="L133" s="86">
        <f t="shared" si="101"/>
        <v>970</v>
      </c>
      <c r="M133" s="86">
        <f t="shared" si="101"/>
        <v>870</v>
      </c>
      <c r="N133" s="86">
        <f t="shared" si="101"/>
        <v>890</v>
      </c>
      <c r="O133" s="86">
        <f t="shared" si="101"/>
        <v>969.99999999999909</v>
      </c>
      <c r="P133" s="86">
        <f t="shared" si="101"/>
        <v>980</v>
      </c>
      <c r="Q133" s="260"/>
      <c r="R133" s="260"/>
      <c r="S133" s="260"/>
      <c r="T133" s="260"/>
      <c r="U133" s="260"/>
      <c r="V133" s="86" t="str">
        <f t="shared" si="100"/>
        <v>n/a</v>
      </c>
      <c r="W133" s="86">
        <f t="shared" si="100"/>
        <v>1490</v>
      </c>
      <c r="X133" s="86">
        <f t="shared" si="100"/>
        <v>2010</v>
      </c>
      <c r="Y133" s="86">
        <f t="shared" si="100"/>
        <v>2620</v>
      </c>
      <c r="Z133" s="86">
        <f t="shared" si="100"/>
        <v>3210</v>
      </c>
      <c r="AA133" s="86">
        <f t="shared" si="100"/>
        <v>3700</v>
      </c>
    </row>
    <row r="134" spans="1:32" x14ac:dyDescent="0.2">
      <c r="B134" s="110" t="s">
        <v>499</v>
      </c>
      <c r="D134" s="212">
        <f t="shared" ref="D134:P134" si="102">+D45</f>
        <v>1850</v>
      </c>
      <c r="E134" s="212">
        <f t="shared" si="102"/>
        <v>1860</v>
      </c>
      <c r="F134" s="212">
        <f t="shared" si="102"/>
        <v>1870</v>
      </c>
      <c r="G134" s="212">
        <f t="shared" si="102"/>
        <v>1979.9999999999995</v>
      </c>
      <c r="H134" s="212">
        <f t="shared" si="102"/>
        <v>2120</v>
      </c>
      <c r="I134" s="212">
        <f t="shared" si="102"/>
        <v>1930</v>
      </c>
      <c r="J134" s="212">
        <f t="shared" si="102"/>
        <v>2130</v>
      </c>
      <c r="K134" s="212">
        <f t="shared" si="102"/>
        <v>2320.0000000000005</v>
      </c>
      <c r="L134" s="212">
        <f t="shared" si="102"/>
        <v>2480</v>
      </c>
      <c r="M134" s="212">
        <f t="shared" si="102"/>
        <v>2580</v>
      </c>
      <c r="N134" s="212">
        <f t="shared" si="102"/>
        <v>2830</v>
      </c>
      <c r="O134" s="212">
        <f t="shared" si="102"/>
        <v>3129.9999999999991</v>
      </c>
      <c r="P134" s="212">
        <f t="shared" si="102"/>
        <v>3330</v>
      </c>
      <c r="Q134" s="212">
        <f>+P134-P135+Q135</f>
        <v>3593</v>
      </c>
      <c r="R134" s="212">
        <f>+Q134-Q135+R135</f>
        <v>3983</v>
      </c>
      <c r="S134" s="212">
        <f>+R134-R135+S135</f>
        <v>4416</v>
      </c>
      <c r="T134" s="260"/>
      <c r="U134" s="260"/>
      <c r="V134" s="212">
        <f t="shared" si="100"/>
        <v>3680</v>
      </c>
      <c r="W134" s="212">
        <f t="shared" si="100"/>
        <v>5180</v>
      </c>
      <c r="X134" s="212">
        <f t="shared" si="100"/>
        <v>6390</v>
      </c>
      <c r="Y134" s="212">
        <f t="shared" si="100"/>
        <v>7560</v>
      </c>
      <c r="Z134" s="212">
        <f t="shared" si="100"/>
        <v>8500</v>
      </c>
      <c r="AA134" s="212">
        <f t="shared" si="100"/>
        <v>11020</v>
      </c>
      <c r="AB134" s="111">
        <f>+SUM(P134:S134)</f>
        <v>15322</v>
      </c>
      <c r="AC134" s="212">
        <f>+AB134-AB135+AC135</f>
        <v>19088.690236868715</v>
      </c>
      <c r="AD134" s="212">
        <f>+AC134-AC135+AD135</f>
        <v>25582.391921188526</v>
      </c>
      <c r="AE134" s="212"/>
      <c r="AF134" s="212"/>
    </row>
    <row r="135" spans="1:32" x14ac:dyDescent="0.2">
      <c r="A135" t="s">
        <v>146</v>
      </c>
      <c r="B135" s="60" t="s">
        <v>505</v>
      </c>
      <c r="D135" s="203">
        <f t="shared" ref="D135:P135" si="103">+D46</f>
        <v>1972</v>
      </c>
      <c r="E135" s="203">
        <f t="shared" si="103"/>
        <v>1985</v>
      </c>
      <c r="F135" s="203">
        <f t="shared" si="103"/>
        <v>1995</v>
      </c>
      <c r="G135" s="203">
        <f t="shared" si="103"/>
        <v>2014</v>
      </c>
      <c r="H135" s="203">
        <f t="shared" si="103"/>
        <v>2156</v>
      </c>
      <c r="I135" s="203">
        <f t="shared" si="103"/>
        <v>1979</v>
      </c>
      <c r="J135" s="203">
        <f t="shared" si="103"/>
        <v>2175</v>
      </c>
      <c r="K135" s="203">
        <f t="shared" si="103"/>
        <v>2376</v>
      </c>
      <c r="L135" s="203">
        <f t="shared" si="103"/>
        <v>2524</v>
      </c>
      <c r="M135" s="203">
        <f t="shared" si="103"/>
        <v>2623</v>
      </c>
      <c r="N135" s="203">
        <f t="shared" si="103"/>
        <v>2858</v>
      </c>
      <c r="O135" s="203">
        <f t="shared" si="103"/>
        <v>3172</v>
      </c>
      <c r="P135" s="203">
        <f t="shared" si="103"/>
        <v>3374</v>
      </c>
      <c r="Q135" s="263">
        <f>_xll.VAData("META_US",Q$1,$A135,"consensus.vaactuals")</f>
        <v>3637</v>
      </c>
      <c r="R135" s="263">
        <f>_xll.VAData("META_US",R$1,$A135,"consensus.vaactuals")</f>
        <v>4027</v>
      </c>
      <c r="S135" s="263">
        <f>_xll.VAData("META_US",S$1,$A135,"consensus.vaactuals")</f>
        <v>4460</v>
      </c>
      <c r="T135" s="261"/>
      <c r="U135" s="261"/>
      <c r="V135" s="203">
        <f t="shared" si="100"/>
        <v>4315</v>
      </c>
      <c r="W135" s="203">
        <f t="shared" si="100"/>
        <v>5741</v>
      </c>
      <c r="X135" s="203">
        <f t="shared" si="100"/>
        <v>6862</v>
      </c>
      <c r="Y135" s="203">
        <f t="shared" si="100"/>
        <v>7966</v>
      </c>
      <c r="Z135" s="203">
        <f t="shared" si="100"/>
        <v>8686</v>
      </c>
      <c r="AA135" s="203">
        <f t="shared" si="100"/>
        <v>11177</v>
      </c>
      <c r="AB135" s="95">
        <f>+SUM(P135:S135)</f>
        <v>15498</v>
      </c>
      <c r="AC135" s="263">
        <f>_xll.VAData("META_US",AC$1,$A135,"consensus.vaactuals")</f>
        <v>19264.690236868715</v>
      </c>
      <c r="AD135" s="263">
        <f>_xll.VAData("META_US",AD$1,$A135,"consensus.vaactuals")</f>
        <v>25758.391921188526</v>
      </c>
      <c r="AE135" s="263"/>
      <c r="AF135" s="263"/>
    </row>
    <row r="137" spans="1:32" x14ac:dyDescent="0.2">
      <c r="B137" s="62" t="s">
        <v>502</v>
      </c>
    </row>
    <row r="138" spans="1:32" x14ac:dyDescent="0.2">
      <c r="B138" s="60" t="s">
        <v>405</v>
      </c>
      <c r="D138" s="256" t="str">
        <f t="shared" ref="D138:S138" si="104">+IFERROR(D99/(D132*4),"n/a")</f>
        <v>n/a</v>
      </c>
      <c r="E138" s="256" t="str">
        <f t="shared" si="104"/>
        <v>n/a</v>
      </c>
      <c r="F138" s="256" t="str">
        <f t="shared" si="104"/>
        <v>n/a</v>
      </c>
      <c r="G138" s="256" t="str">
        <f t="shared" si="104"/>
        <v>n/a</v>
      </c>
      <c r="H138" s="256">
        <f t="shared" si="104"/>
        <v>4.9805147058823529</v>
      </c>
      <c r="I138" s="256">
        <f t="shared" si="104"/>
        <v>6.0408333333333335</v>
      </c>
      <c r="J138" s="256">
        <f t="shared" si="104"/>
        <v>5.7790441176470591</v>
      </c>
      <c r="K138" s="256">
        <f t="shared" si="104"/>
        <v>6.2645985401459852</v>
      </c>
      <c r="L138" s="256">
        <f t="shared" si="104"/>
        <v>6.1725165562913906</v>
      </c>
      <c r="M138" s="256">
        <f t="shared" si="104"/>
        <v>5.9684210526315793</v>
      </c>
      <c r="N138" s="256">
        <f t="shared" si="104"/>
        <v>5.755412371134021</v>
      </c>
      <c r="O138" s="256">
        <f t="shared" si="104"/>
        <v>5.4210648148148151</v>
      </c>
      <c r="P138" s="256">
        <f t="shared" si="104"/>
        <v>5.51936170212766</v>
      </c>
      <c r="Q138" s="256" t="str">
        <f t="shared" si="104"/>
        <v>n/a</v>
      </c>
      <c r="R138" s="256" t="str">
        <f t="shared" si="104"/>
        <v>n/a</v>
      </c>
      <c r="S138" s="256" t="str">
        <f t="shared" si="104"/>
        <v>n/a</v>
      </c>
      <c r="V138" s="256" t="str">
        <f t="shared" ref="V138:AD138" si="105">+IFERROR(V99/(V132),"n/a")</f>
        <v>n/a</v>
      </c>
      <c r="W138" s="256">
        <f t="shared" si="105"/>
        <v>4.6081300813008133</v>
      </c>
      <c r="X138" s="256">
        <f t="shared" si="105"/>
        <v>5.0235159817351596</v>
      </c>
      <c r="Y138" s="256">
        <f t="shared" si="105"/>
        <v>5.1789473684210527</v>
      </c>
      <c r="Z138" s="256">
        <f t="shared" si="105"/>
        <v>6.4896030245746692</v>
      </c>
      <c r="AA138" s="256">
        <f t="shared" si="105"/>
        <v>6.3986338797814204</v>
      </c>
      <c r="AB138" s="256" t="str">
        <f t="shared" si="105"/>
        <v>n/a</v>
      </c>
      <c r="AC138" s="256" t="str">
        <f t="shared" si="105"/>
        <v>n/a</v>
      </c>
      <c r="AD138" s="256" t="str">
        <f t="shared" si="105"/>
        <v>n/a</v>
      </c>
      <c r="AE138" s="256"/>
      <c r="AF138" s="256"/>
    </row>
    <row r="139" spans="1:32" ht="13.5" x14ac:dyDescent="0.35">
      <c r="B139" s="60" t="s">
        <v>503</v>
      </c>
      <c r="D139" s="257" t="str">
        <f t="shared" ref="D139:S139" si="106">+IFERROR(D100/(D133*4),"n/a")</f>
        <v>n/a</v>
      </c>
      <c r="E139" s="257" t="str">
        <f t="shared" si="106"/>
        <v>n/a</v>
      </c>
      <c r="F139" s="257" t="str">
        <f t="shared" si="106"/>
        <v>n/a</v>
      </c>
      <c r="G139" s="257" t="str">
        <f t="shared" si="106"/>
        <v>n/a</v>
      </c>
      <c r="H139" s="257">
        <f t="shared" si="106"/>
        <v>18.401644736842105</v>
      </c>
      <c r="I139" s="257">
        <f t="shared" si="106"/>
        <v>20.899315068493152</v>
      </c>
      <c r="J139" s="257">
        <f t="shared" si="106"/>
        <v>21.328896103896103</v>
      </c>
      <c r="K139" s="257">
        <f t="shared" si="106"/>
        <v>18.463947368421042</v>
      </c>
      <c r="L139" s="257">
        <f t="shared" si="106"/>
        <v>19.034278350515464</v>
      </c>
      <c r="M139" s="257">
        <f t="shared" si="106"/>
        <v>21.861494252873563</v>
      </c>
      <c r="N139" s="257">
        <f t="shared" si="106"/>
        <v>21.898314606741572</v>
      </c>
      <c r="O139" s="257">
        <f t="shared" si="106"/>
        <v>21.361597938144349</v>
      </c>
      <c r="P139" s="257">
        <f t="shared" si="106"/>
        <v>21.157142857142858</v>
      </c>
      <c r="Q139" s="257" t="str">
        <f t="shared" si="106"/>
        <v>n/a</v>
      </c>
      <c r="R139" s="257" t="str">
        <f t="shared" si="106"/>
        <v>n/a</v>
      </c>
      <c r="S139" s="257" t="str">
        <f t="shared" si="106"/>
        <v>n/a</v>
      </c>
      <c r="V139" s="257" t="str">
        <f t="shared" ref="V139:AD139" si="107">+IFERROR(V100/(V133),"n/a")</f>
        <v>n/a</v>
      </c>
      <c r="W139" s="257">
        <f t="shared" si="107"/>
        <v>19.451006711409395</v>
      </c>
      <c r="X139" s="257">
        <f t="shared" si="107"/>
        <v>19.426865671641792</v>
      </c>
      <c r="Y139" s="257">
        <f t="shared" si="107"/>
        <v>19.963740458015266</v>
      </c>
      <c r="Z139" s="257">
        <f t="shared" si="107"/>
        <v>21.857632398753893</v>
      </c>
      <c r="AA139" s="257">
        <f t="shared" si="107"/>
        <v>22.40081081081081</v>
      </c>
      <c r="AB139" s="257" t="str">
        <f t="shared" si="107"/>
        <v>n/a</v>
      </c>
      <c r="AC139" s="257" t="str">
        <f t="shared" si="107"/>
        <v>n/a</v>
      </c>
      <c r="AD139" s="257" t="str">
        <f t="shared" si="107"/>
        <v>n/a</v>
      </c>
      <c r="AE139" s="257"/>
      <c r="AF139" s="257"/>
    </row>
    <row r="140" spans="1:32" x14ac:dyDescent="0.2">
      <c r="B140" s="101" t="s">
        <v>504</v>
      </c>
      <c r="D140" s="256">
        <f t="shared" ref="D140:S140" si="108">+IFERROR(D101/(D134*4),"n/a")</f>
        <v>8.6770270270270267</v>
      </c>
      <c r="E140" s="256">
        <f t="shared" si="108"/>
        <v>9.2263440860215056</v>
      </c>
      <c r="F140" s="256">
        <f t="shared" si="108"/>
        <v>9.6758021390374331</v>
      </c>
      <c r="G140" s="256">
        <f t="shared" si="108"/>
        <v>9.8344696969697001</v>
      </c>
      <c r="H140" s="256">
        <f t="shared" si="108"/>
        <v>9.7918632075471699</v>
      </c>
      <c r="I140" s="256">
        <f t="shared" si="108"/>
        <v>11.660880829015545</v>
      </c>
      <c r="J140" s="256">
        <f t="shared" si="108"/>
        <v>11.400352112676057</v>
      </c>
      <c r="K140" s="256">
        <f t="shared" si="108"/>
        <v>11.260021551724135</v>
      </c>
      <c r="L140" s="256">
        <f t="shared" si="108"/>
        <v>11.203125</v>
      </c>
      <c r="M140" s="256">
        <f t="shared" si="108"/>
        <v>11.327713178294573</v>
      </c>
      <c r="N140" s="256">
        <f t="shared" si="108"/>
        <v>10.832155477031803</v>
      </c>
      <c r="O140" s="256">
        <f t="shared" si="108"/>
        <v>10.361102236421729</v>
      </c>
      <c r="P140" s="256">
        <f t="shared" si="108"/>
        <v>10.121471471471471</v>
      </c>
      <c r="Q140" s="256">
        <f t="shared" si="108"/>
        <v>9.9492763707208454</v>
      </c>
      <c r="R140" s="256">
        <f t="shared" si="108"/>
        <v>9.493409490333919</v>
      </c>
      <c r="S140" s="256">
        <f t="shared" si="108"/>
        <v>9.3791893115942031</v>
      </c>
      <c r="V140" s="256">
        <f t="shared" ref="V140:AD140" si="109">+IFERROR(V101/(V134),"n/a")</f>
        <v>8.5796195652173921</v>
      </c>
      <c r="W140" s="256">
        <f t="shared" si="109"/>
        <v>8.877606177606177</v>
      </c>
      <c r="X140" s="256">
        <f t="shared" si="109"/>
        <v>9.5541471048513298</v>
      </c>
      <c r="Y140" s="256">
        <f t="shared" si="109"/>
        <v>10.302777777777777</v>
      </c>
      <c r="Z140" s="256">
        <f t="shared" si="109"/>
        <v>12.29329411764706</v>
      </c>
      <c r="AA140" s="256">
        <f t="shared" si="109"/>
        <v>11.771415607985482</v>
      </c>
      <c r="AB140" s="256">
        <f t="shared" si="109"/>
        <v>10.812818169951704</v>
      </c>
      <c r="AC140" s="256">
        <f t="shared" si="109"/>
        <v>12.004557729813248</v>
      </c>
      <c r="AD140" s="256">
        <f t="shared" si="109"/>
        <v>11.653510241898914</v>
      </c>
      <c r="AE140" s="256"/>
      <c r="AF140" s="256"/>
    </row>
    <row r="141" spans="1:32" x14ac:dyDescent="0.2">
      <c r="B141" s="101"/>
      <c r="D141" s="256"/>
      <c r="E141" s="256"/>
      <c r="F141" s="256"/>
      <c r="G141" s="256"/>
      <c r="H141" s="256"/>
      <c r="I141" s="256"/>
      <c r="J141" s="256"/>
      <c r="K141" s="256"/>
      <c r="L141" s="256"/>
      <c r="M141" s="256"/>
      <c r="N141" s="256"/>
      <c r="O141" s="256"/>
      <c r="P141" s="256"/>
      <c r="Q141" s="256"/>
      <c r="R141" s="256"/>
      <c r="S141" s="256"/>
      <c r="V141" s="256"/>
      <c r="W141" s="256"/>
      <c r="X141" s="256"/>
      <c r="Y141" s="256"/>
      <c r="Z141" s="256"/>
      <c r="AA141" s="256"/>
      <c r="AB141" s="256"/>
      <c r="AC141" s="256"/>
      <c r="AD141" s="256"/>
      <c r="AE141" s="256"/>
      <c r="AF141" s="256"/>
    </row>
    <row r="142" spans="1:32" x14ac:dyDescent="0.2">
      <c r="B142" s="62" t="s">
        <v>537</v>
      </c>
      <c r="D142" s="256"/>
      <c r="E142" s="256"/>
      <c r="F142" s="256"/>
      <c r="G142" s="256"/>
      <c r="H142" s="256"/>
      <c r="I142" s="256"/>
      <c r="J142" s="256"/>
      <c r="K142" s="256"/>
      <c r="L142" s="256"/>
      <c r="M142" s="256"/>
      <c r="N142" s="256"/>
      <c r="O142" s="256"/>
      <c r="P142" s="256"/>
      <c r="Q142" s="256"/>
      <c r="R142" s="256"/>
      <c r="S142" s="256"/>
      <c r="V142" s="256"/>
      <c r="W142" s="256"/>
      <c r="X142" s="256"/>
      <c r="Y142" s="256"/>
      <c r="Z142" s="256"/>
      <c r="AA142" s="256"/>
      <c r="AB142" s="256"/>
      <c r="AC142" s="256"/>
      <c r="AD142" s="256"/>
      <c r="AE142" s="256"/>
      <c r="AF142" s="256"/>
    </row>
    <row r="143" spans="1:32" x14ac:dyDescent="0.2">
      <c r="B143" s="60" t="s">
        <v>504</v>
      </c>
      <c r="D143" s="256" t="e">
        <f t="shared" ref="D143:S143" si="110">+D110/(D134*4)</f>
        <v>#REF!</v>
      </c>
      <c r="E143" s="256" t="e">
        <f t="shared" si="110"/>
        <v>#REF!</v>
      </c>
      <c r="F143" s="256" t="e">
        <f t="shared" si="110"/>
        <v>#REF!</v>
      </c>
      <c r="G143" s="256" t="e">
        <f t="shared" si="110"/>
        <v>#REF!</v>
      </c>
      <c r="H143" s="256" t="e">
        <f t="shared" si="110"/>
        <v>#REF!</v>
      </c>
      <c r="I143" s="256" t="e">
        <f t="shared" si="110"/>
        <v>#REF!</v>
      </c>
      <c r="J143" s="256" t="e">
        <f t="shared" si="110"/>
        <v>#REF!</v>
      </c>
      <c r="K143" s="256" t="e">
        <f t="shared" si="110"/>
        <v>#REF!</v>
      </c>
      <c r="L143" s="256" t="e">
        <f t="shared" si="110"/>
        <v>#REF!</v>
      </c>
      <c r="M143" s="256" t="e">
        <f t="shared" si="110"/>
        <v>#REF!</v>
      </c>
      <c r="N143" s="256" t="e">
        <f t="shared" si="110"/>
        <v>#REF!</v>
      </c>
      <c r="O143" s="256" t="e">
        <f t="shared" si="110"/>
        <v>#REF!</v>
      </c>
      <c r="P143" s="256" t="e">
        <f t="shared" si="110"/>
        <v>#REF!</v>
      </c>
      <c r="Q143" s="256" t="e">
        <f t="shared" si="110"/>
        <v>#REF!</v>
      </c>
      <c r="R143" s="256" t="e">
        <f t="shared" si="110"/>
        <v>#REF!</v>
      </c>
      <c r="S143" s="256" t="e">
        <f t="shared" si="110"/>
        <v>#REF!</v>
      </c>
      <c r="U143" s="256"/>
      <c r="V143" s="256" t="e">
        <f t="shared" ref="V143:AD143" si="111">+V110/(V134)</f>
        <v>#REF!</v>
      </c>
      <c r="W143" s="256" t="e">
        <f t="shared" si="111"/>
        <v>#REF!</v>
      </c>
      <c r="X143" s="256" t="e">
        <f t="shared" si="111"/>
        <v>#REF!</v>
      </c>
      <c r="Y143" s="256" t="e">
        <f t="shared" si="111"/>
        <v>#REF!</v>
      </c>
      <c r="Z143" s="256" t="e">
        <f t="shared" si="111"/>
        <v>#REF!</v>
      </c>
      <c r="AA143" s="256" t="e">
        <f t="shared" si="111"/>
        <v>#REF!</v>
      </c>
      <c r="AB143" s="256" t="e">
        <f t="shared" si="111"/>
        <v>#REF!</v>
      </c>
      <c r="AC143" s="256">
        <f t="shared" si="111"/>
        <v>9.6036461838505982</v>
      </c>
      <c r="AD143" s="256">
        <f t="shared" si="111"/>
        <v>9.4393432959381194</v>
      </c>
      <c r="AE143" s="256"/>
      <c r="AF143" s="256"/>
    </row>
    <row r="145" spans="1:32" x14ac:dyDescent="0.2">
      <c r="B145" s="54" t="s">
        <v>398</v>
      </c>
    </row>
    <row r="146" spans="1:32" x14ac:dyDescent="0.2">
      <c r="B146" t="s">
        <v>391</v>
      </c>
      <c r="D146" s="64">
        <f t="shared" ref="D146:S146" si="112">+D101</f>
        <v>64210</v>
      </c>
      <c r="E146" s="64">
        <f t="shared" si="112"/>
        <v>68644</v>
      </c>
      <c r="F146" s="64">
        <f t="shared" si="112"/>
        <v>72375</v>
      </c>
      <c r="G146" s="64">
        <f t="shared" si="112"/>
        <v>77889</v>
      </c>
      <c r="H146" s="64">
        <f t="shared" si="112"/>
        <v>83035</v>
      </c>
      <c r="I146" s="64">
        <f t="shared" si="112"/>
        <v>90022</v>
      </c>
      <c r="J146" s="64">
        <f t="shared" si="112"/>
        <v>97131</v>
      </c>
      <c r="K146" s="64">
        <f t="shared" si="112"/>
        <v>104493</v>
      </c>
      <c r="L146" s="64">
        <f t="shared" si="112"/>
        <v>111135</v>
      </c>
      <c r="M146" s="64">
        <f t="shared" si="112"/>
        <v>116902</v>
      </c>
      <c r="N146" s="64">
        <f t="shared" si="112"/>
        <v>122620</v>
      </c>
      <c r="O146" s="64">
        <f t="shared" si="112"/>
        <v>129721</v>
      </c>
      <c r="P146" s="64">
        <f t="shared" si="112"/>
        <v>134818</v>
      </c>
      <c r="Q146" s="64">
        <f t="shared" si="112"/>
        <v>142991</v>
      </c>
      <c r="R146" s="64">
        <f t="shared" si="112"/>
        <v>151249</v>
      </c>
      <c r="S146" s="64">
        <f t="shared" si="112"/>
        <v>165674</v>
      </c>
      <c r="V146" s="64">
        <f t="shared" ref="V146:AD146" si="113">+V101</f>
        <v>31573</v>
      </c>
      <c r="W146" s="64">
        <f t="shared" si="113"/>
        <v>45986</v>
      </c>
      <c r="X146" s="64">
        <f t="shared" si="113"/>
        <v>61051</v>
      </c>
      <c r="Y146" s="64">
        <f t="shared" si="113"/>
        <v>77889</v>
      </c>
      <c r="Z146" s="64">
        <f t="shared" si="113"/>
        <v>104493</v>
      </c>
      <c r="AA146" s="64">
        <f t="shared" si="113"/>
        <v>129721</v>
      </c>
      <c r="AB146" s="64">
        <f t="shared" si="113"/>
        <v>165674</v>
      </c>
      <c r="AC146" s="64">
        <f t="shared" si="113"/>
        <v>229151.28393501302</v>
      </c>
      <c r="AD146" s="64">
        <f t="shared" si="113"/>
        <v>298124.6662658425</v>
      </c>
      <c r="AE146" s="64"/>
      <c r="AF146" s="64"/>
    </row>
    <row r="147" spans="1:32" ht="13.5" x14ac:dyDescent="0.35">
      <c r="B147" t="s">
        <v>394</v>
      </c>
      <c r="D147" s="72">
        <f t="shared" ref="D147:P147" si="114">+D58</f>
        <v>-16490</v>
      </c>
      <c r="E147" s="72">
        <f t="shared" si="114"/>
        <v>-17735</v>
      </c>
      <c r="F147" s="72">
        <f t="shared" si="114"/>
        <v>-18649</v>
      </c>
      <c r="G147" s="72">
        <f t="shared" si="114"/>
        <v>-20080</v>
      </c>
      <c r="H147" s="72">
        <f t="shared" si="114"/>
        <v>-21453</v>
      </c>
      <c r="I147" s="72">
        <f t="shared" si="114"/>
        <v>-22434</v>
      </c>
      <c r="J147" s="72">
        <f t="shared" si="114"/>
        <v>-23393</v>
      </c>
      <c r="K147" s="72">
        <f t="shared" si="114"/>
        <v>-24975</v>
      </c>
      <c r="L147" s="72">
        <f t="shared" si="114"/>
        <v>-26979</v>
      </c>
      <c r="M147" s="72">
        <f t="shared" si="114"/>
        <v>-28953</v>
      </c>
      <c r="N147" s="72">
        <f t="shared" si="114"/>
        <v>-30848</v>
      </c>
      <c r="O147" s="72">
        <f t="shared" si="114"/>
        <v>-33134</v>
      </c>
      <c r="P147" s="72">
        <f t="shared" si="114"/>
        <v>-35910</v>
      </c>
      <c r="Q147" s="65">
        <f>-Q155</f>
        <v>-39003</v>
      </c>
      <c r="R147" s="65">
        <f>-R155</f>
        <v>-42486</v>
      </c>
      <c r="S147" s="65">
        <f>-S155</f>
        <v>-46402</v>
      </c>
      <c r="U147" s="72">
        <f t="shared" ref="U147:AA147" si="115">+U58</f>
        <v>-4616</v>
      </c>
      <c r="V147" s="72">
        <f t="shared" si="115"/>
        <v>-6890</v>
      </c>
      <c r="W147" s="72">
        <f t="shared" si="115"/>
        <v>-10663</v>
      </c>
      <c r="X147" s="72">
        <f t="shared" si="115"/>
        <v>-15418</v>
      </c>
      <c r="Y147" s="72">
        <f t="shared" si="115"/>
        <v>-20080</v>
      </c>
      <c r="Z147" s="72">
        <f t="shared" si="115"/>
        <v>-24975</v>
      </c>
      <c r="AA147" s="72">
        <f t="shared" si="115"/>
        <v>-33134</v>
      </c>
      <c r="AB147" s="65">
        <f>+S147</f>
        <v>-46402</v>
      </c>
      <c r="AC147" s="65">
        <f>-AC155</f>
        <v>-63490.690236868715</v>
      </c>
      <c r="AD147" s="65">
        <f>-AD155</f>
        <v>-87073.082158057237</v>
      </c>
      <c r="AE147" s="65"/>
      <c r="AF147" s="65"/>
    </row>
    <row r="148" spans="1:32" s="44" customFormat="1" x14ac:dyDescent="0.2">
      <c r="A148" s="254"/>
      <c r="B148" s="110" t="s">
        <v>398</v>
      </c>
      <c r="D148" s="111">
        <f t="shared" ref="D148:S148" si="116">SUM(D146:D147)</f>
        <v>47720</v>
      </c>
      <c r="E148" s="111">
        <f t="shared" si="116"/>
        <v>50909</v>
      </c>
      <c r="F148" s="111">
        <f t="shared" si="116"/>
        <v>53726</v>
      </c>
      <c r="G148" s="111">
        <f t="shared" si="116"/>
        <v>57809</v>
      </c>
      <c r="H148" s="111">
        <f t="shared" si="116"/>
        <v>61582</v>
      </c>
      <c r="I148" s="111">
        <f t="shared" si="116"/>
        <v>67588</v>
      </c>
      <c r="J148" s="111">
        <f t="shared" si="116"/>
        <v>73738</v>
      </c>
      <c r="K148" s="111">
        <f t="shared" si="116"/>
        <v>79518</v>
      </c>
      <c r="L148" s="111">
        <f t="shared" si="116"/>
        <v>84156</v>
      </c>
      <c r="M148" s="111">
        <f t="shared" si="116"/>
        <v>87949</v>
      </c>
      <c r="N148" s="111">
        <f t="shared" si="116"/>
        <v>91772</v>
      </c>
      <c r="O148" s="111">
        <f t="shared" si="116"/>
        <v>96587</v>
      </c>
      <c r="P148" s="111">
        <f t="shared" si="116"/>
        <v>98908</v>
      </c>
      <c r="Q148" s="111">
        <f t="shared" si="116"/>
        <v>103988</v>
      </c>
      <c r="R148" s="111">
        <f t="shared" si="116"/>
        <v>108763</v>
      </c>
      <c r="S148" s="111">
        <f t="shared" si="116"/>
        <v>119272</v>
      </c>
      <c r="V148" s="111">
        <f t="shared" ref="V148:AD148" si="117">SUM(V146:V147)</f>
        <v>24683</v>
      </c>
      <c r="W148" s="111">
        <f t="shared" si="117"/>
        <v>35323</v>
      </c>
      <c r="X148" s="111">
        <f t="shared" si="117"/>
        <v>45633</v>
      </c>
      <c r="Y148" s="111">
        <f t="shared" si="117"/>
        <v>57809</v>
      </c>
      <c r="Z148" s="111">
        <f t="shared" si="117"/>
        <v>79518</v>
      </c>
      <c r="AA148" s="111">
        <f t="shared" si="117"/>
        <v>96587</v>
      </c>
      <c r="AB148" s="111">
        <f t="shared" si="117"/>
        <v>119272</v>
      </c>
      <c r="AC148" s="111">
        <f t="shared" si="117"/>
        <v>165660.59369814431</v>
      </c>
      <c r="AD148" s="111">
        <f t="shared" si="117"/>
        <v>211051.58410778525</v>
      </c>
      <c r="AE148" s="111"/>
      <c r="AF148" s="111"/>
    </row>
    <row r="149" spans="1:32" x14ac:dyDescent="0.2">
      <c r="B149" s="60" t="s">
        <v>513</v>
      </c>
      <c r="D149" s="256">
        <f t="shared" ref="D149:S149" si="118">+IFERROR(D148/(D134*4),"n/a")</f>
        <v>6.448648648648649</v>
      </c>
      <c r="E149" s="256">
        <f t="shared" si="118"/>
        <v>6.8426075268817206</v>
      </c>
      <c r="F149" s="256">
        <f t="shared" si="118"/>
        <v>7.182620320855615</v>
      </c>
      <c r="G149" s="256">
        <f t="shared" si="118"/>
        <v>7.2991161616161637</v>
      </c>
      <c r="H149" s="256">
        <f t="shared" si="118"/>
        <v>7.2620283018867928</v>
      </c>
      <c r="I149" s="256">
        <f t="shared" si="118"/>
        <v>8.754922279792746</v>
      </c>
      <c r="J149" s="256">
        <f t="shared" si="118"/>
        <v>8.6546948356807505</v>
      </c>
      <c r="K149" s="256">
        <f t="shared" si="118"/>
        <v>8.5687499999999979</v>
      </c>
      <c r="L149" s="256">
        <f t="shared" si="118"/>
        <v>8.4834677419354847</v>
      </c>
      <c r="M149" s="256">
        <f t="shared" si="118"/>
        <v>8.5221899224806208</v>
      </c>
      <c r="N149" s="256">
        <f t="shared" si="118"/>
        <v>8.107067137809187</v>
      </c>
      <c r="O149" s="256">
        <f t="shared" si="118"/>
        <v>7.7146166134185323</v>
      </c>
      <c r="P149" s="256">
        <f t="shared" si="118"/>
        <v>7.4255255255255257</v>
      </c>
      <c r="Q149" s="256">
        <f t="shared" si="118"/>
        <v>7.2354578346785416</v>
      </c>
      <c r="R149" s="256">
        <f t="shared" si="118"/>
        <v>6.8267009791614361</v>
      </c>
      <c r="S149" s="256">
        <f t="shared" si="118"/>
        <v>6.7522644927536231</v>
      </c>
      <c r="V149" s="256">
        <f t="shared" ref="V149:AD149" si="119">+IFERROR(V148/(V134),"n/a")</f>
        <v>6.7073369565217389</v>
      </c>
      <c r="W149" s="256">
        <f t="shared" si="119"/>
        <v>6.8191119691119688</v>
      </c>
      <c r="X149" s="256">
        <f t="shared" si="119"/>
        <v>7.1413145539906102</v>
      </c>
      <c r="Y149" s="256">
        <f t="shared" si="119"/>
        <v>7.6466931216931213</v>
      </c>
      <c r="Z149" s="256">
        <f t="shared" si="119"/>
        <v>9.3550588235294114</v>
      </c>
      <c r="AA149" s="256">
        <f t="shared" si="119"/>
        <v>8.7647005444646098</v>
      </c>
      <c r="AB149" s="256">
        <f t="shared" si="119"/>
        <v>7.7843623547839709</v>
      </c>
      <c r="AC149" s="256">
        <f t="shared" si="119"/>
        <v>8.6784683308538551</v>
      </c>
      <c r="AD149" s="256">
        <f t="shared" si="119"/>
        <v>8.2498768980621602</v>
      </c>
      <c r="AE149" s="256"/>
      <c r="AF149" s="256"/>
    </row>
    <row r="150" spans="1:32" x14ac:dyDescent="0.2">
      <c r="B150" s="60"/>
      <c r="V150" s="64"/>
      <c r="W150" s="64"/>
      <c r="X150" s="64"/>
      <c r="Y150" s="64"/>
      <c r="Z150" s="64"/>
      <c r="AA150" s="64"/>
    </row>
    <row r="151" spans="1:32" x14ac:dyDescent="0.2">
      <c r="B151" s="62" t="s">
        <v>19</v>
      </c>
      <c r="V151" s="64"/>
      <c r="W151" s="64"/>
      <c r="X151" s="64"/>
      <c r="Y151" s="64"/>
      <c r="Z151" s="64"/>
      <c r="AA151" s="64"/>
    </row>
    <row r="152" spans="1:32" x14ac:dyDescent="0.2">
      <c r="B152" s="60" t="s">
        <v>395</v>
      </c>
      <c r="D152" s="95">
        <f>-X147</f>
        <v>15418</v>
      </c>
      <c r="E152" s="95">
        <f t="shared" ref="E152:S152" si="120">+D155</f>
        <v>16490</v>
      </c>
      <c r="F152" s="95">
        <f t="shared" si="120"/>
        <v>17735</v>
      </c>
      <c r="G152" s="95">
        <f t="shared" si="120"/>
        <v>18649</v>
      </c>
      <c r="H152" s="95">
        <f t="shared" si="120"/>
        <v>20080</v>
      </c>
      <c r="I152" s="95">
        <f t="shared" si="120"/>
        <v>21453</v>
      </c>
      <c r="J152" s="95">
        <f t="shared" si="120"/>
        <v>22434</v>
      </c>
      <c r="K152" s="95">
        <f t="shared" si="120"/>
        <v>23393</v>
      </c>
      <c r="L152" s="95">
        <f t="shared" si="120"/>
        <v>24975</v>
      </c>
      <c r="M152" s="95">
        <f t="shared" si="120"/>
        <v>26979</v>
      </c>
      <c r="N152" s="95">
        <f t="shared" si="120"/>
        <v>28953</v>
      </c>
      <c r="O152" s="95">
        <f t="shared" si="120"/>
        <v>30848</v>
      </c>
      <c r="P152" s="95">
        <f t="shared" si="120"/>
        <v>33134</v>
      </c>
      <c r="Q152" s="95">
        <f t="shared" si="120"/>
        <v>35910</v>
      </c>
      <c r="R152" s="95">
        <f t="shared" si="120"/>
        <v>39003</v>
      </c>
      <c r="S152" s="95">
        <f t="shared" si="120"/>
        <v>42486</v>
      </c>
      <c r="V152" s="95">
        <f>-U147</f>
        <v>4616</v>
      </c>
      <c r="W152" s="95">
        <f t="shared" ref="W152:AD152" si="121">+V155</f>
        <v>6890</v>
      </c>
      <c r="X152" s="95">
        <f t="shared" si="121"/>
        <v>10663</v>
      </c>
      <c r="Y152" s="95">
        <f t="shared" si="121"/>
        <v>15418</v>
      </c>
      <c r="Z152" s="95">
        <f t="shared" si="121"/>
        <v>20080</v>
      </c>
      <c r="AA152" s="95">
        <f t="shared" si="121"/>
        <v>24975</v>
      </c>
      <c r="AB152" s="95">
        <f t="shared" si="121"/>
        <v>33134</v>
      </c>
      <c r="AC152" s="95">
        <f t="shared" si="121"/>
        <v>46402</v>
      </c>
      <c r="AD152" s="95">
        <f t="shared" si="121"/>
        <v>63490.690236868715</v>
      </c>
      <c r="AE152" s="95"/>
      <c r="AF152" s="95"/>
    </row>
    <row r="153" spans="1:32" x14ac:dyDescent="0.2">
      <c r="B153" s="60" t="s">
        <v>380</v>
      </c>
      <c r="D153" s="95">
        <f t="shared" ref="D153:S153" si="122">+D134</f>
        <v>1850</v>
      </c>
      <c r="E153" s="95">
        <f t="shared" si="122"/>
        <v>1860</v>
      </c>
      <c r="F153" s="95">
        <f t="shared" si="122"/>
        <v>1870</v>
      </c>
      <c r="G153" s="95">
        <f t="shared" si="122"/>
        <v>1979.9999999999995</v>
      </c>
      <c r="H153" s="95">
        <f t="shared" si="122"/>
        <v>2120</v>
      </c>
      <c r="I153" s="95">
        <f t="shared" si="122"/>
        <v>1930</v>
      </c>
      <c r="J153" s="95">
        <f t="shared" si="122"/>
        <v>2130</v>
      </c>
      <c r="K153" s="95">
        <f t="shared" si="122"/>
        <v>2320.0000000000005</v>
      </c>
      <c r="L153" s="95">
        <f t="shared" si="122"/>
        <v>2480</v>
      </c>
      <c r="M153" s="95">
        <f t="shared" si="122"/>
        <v>2580</v>
      </c>
      <c r="N153" s="95">
        <f t="shared" si="122"/>
        <v>2830</v>
      </c>
      <c r="O153" s="95">
        <f t="shared" si="122"/>
        <v>3129.9999999999991</v>
      </c>
      <c r="P153" s="95">
        <f t="shared" si="122"/>
        <v>3330</v>
      </c>
      <c r="Q153" s="95">
        <f t="shared" si="122"/>
        <v>3593</v>
      </c>
      <c r="R153" s="95">
        <f t="shared" si="122"/>
        <v>3983</v>
      </c>
      <c r="S153" s="95">
        <f t="shared" si="122"/>
        <v>4416</v>
      </c>
      <c r="V153" s="95">
        <f t="shared" ref="V153:AD153" si="123">+V134</f>
        <v>3680</v>
      </c>
      <c r="W153" s="95">
        <f t="shared" si="123"/>
        <v>5180</v>
      </c>
      <c r="X153" s="95">
        <f t="shared" si="123"/>
        <v>6390</v>
      </c>
      <c r="Y153" s="95">
        <f t="shared" si="123"/>
        <v>7560</v>
      </c>
      <c r="Z153" s="95">
        <f t="shared" si="123"/>
        <v>8500</v>
      </c>
      <c r="AA153" s="95">
        <f t="shared" si="123"/>
        <v>11020</v>
      </c>
      <c r="AB153" s="95">
        <f t="shared" si="123"/>
        <v>15322</v>
      </c>
      <c r="AC153" s="95">
        <f t="shared" si="123"/>
        <v>19088.690236868715</v>
      </c>
      <c r="AD153" s="95">
        <f t="shared" si="123"/>
        <v>25582.391921188526</v>
      </c>
      <c r="AE153" s="95"/>
      <c r="AF153" s="95"/>
    </row>
    <row r="154" spans="1:32" ht="13.5" x14ac:dyDescent="0.35">
      <c r="B154" s="60" t="s">
        <v>33</v>
      </c>
      <c r="D154" s="77">
        <f t="shared" ref="D154:P154" si="124">+D155-SUM(D152:D153)</f>
        <v>-778</v>
      </c>
      <c r="E154" s="77">
        <f t="shared" si="124"/>
        <v>-615</v>
      </c>
      <c r="F154" s="77">
        <f t="shared" si="124"/>
        <v>-956</v>
      </c>
      <c r="G154" s="77">
        <f t="shared" si="124"/>
        <v>-549</v>
      </c>
      <c r="H154" s="77">
        <f t="shared" si="124"/>
        <v>-747</v>
      </c>
      <c r="I154" s="77">
        <f t="shared" si="124"/>
        <v>-949</v>
      </c>
      <c r="J154" s="77">
        <f t="shared" si="124"/>
        <v>-1171</v>
      </c>
      <c r="K154" s="77">
        <f t="shared" si="124"/>
        <v>-738</v>
      </c>
      <c r="L154" s="77">
        <f t="shared" si="124"/>
        <v>-476</v>
      </c>
      <c r="M154" s="77">
        <f t="shared" si="124"/>
        <v>-606</v>
      </c>
      <c r="N154" s="77">
        <f t="shared" si="124"/>
        <v>-935</v>
      </c>
      <c r="O154" s="77">
        <f t="shared" si="124"/>
        <v>-844</v>
      </c>
      <c r="P154" s="77">
        <f t="shared" si="124"/>
        <v>-554</v>
      </c>
      <c r="Q154" s="103">
        <v>-500</v>
      </c>
      <c r="R154" s="103">
        <v>-500</v>
      </c>
      <c r="S154" s="103">
        <v>-500</v>
      </c>
      <c r="V154" s="77">
        <f t="shared" ref="V154:AB154" si="125">+V155-SUM(V152:V153)</f>
        <v>-1406</v>
      </c>
      <c r="W154" s="77">
        <f t="shared" si="125"/>
        <v>-1407</v>
      </c>
      <c r="X154" s="77">
        <f t="shared" si="125"/>
        <v>-1635</v>
      </c>
      <c r="Y154" s="77">
        <f t="shared" si="125"/>
        <v>-2898</v>
      </c>
      <c r="Z154" s="77">
        <f t="shared" si="125"/>
        <v>-3605</v>
      </c>
      <c r="AA154" s="77">
        <f t="shared" si="125"/>
        <v>-2861</v>
      </c>
      <c r="AB154" s="77">
        <f t="shared" si="125"/>
        <v>-2054</v>
      </c>
      <c r="AC154" s="103">
        <v>-2000</v>
      </c>
      <c r="AD154" s="103">
        <v>-2000</v>
      </c>
      <c r="AE154" s="103"/>
      <c r="AF154" s="103"/>
    </row>
    <row r="155" spans="1:32" x14ac:dyDescent="0.2">
      <c r="B155" s="101" t="s">
        <v>388</v>
      </c>
      <c r="D155" s="95">
        <f t="shared" ref="D155:P155" si="126">-D147</f>
        <v>16490</v>
      </c>
      <c r="E155" s="95">
        <f t="shared" si="126"/>
        <v>17735</v>
      </c>
      <c r="F155" s="95">
        <f t="shared" si="126"/>
        <v>18649</v>
      </c>
      <c r="G155" s="95">
        <f t="shared" si="126"/>
        <v>20080</v>
      </c>
      <c r="H155" s="95">
        <f t="shared" si="126"/>
        <v>21453</v>
      </c>
      <c r="I155" s="95">
        <f t="shared" si="126"/>
        <v>22434</v>
      </c>
      <c r="J155" s="95">
        <f t="shared" si="126"/>
        <v>23393</v>
      </c>
      <c r="K155" s="95">
        <f t="shared" si="126"/>
        <v>24975</v>
      </c>
      <c r="L155" s="95">
        <f t="shared" si="126"/>
        <v>26979</v>
      </c>
      <c r="M155" s="95">
        <f t="shared" si="126"/>
        <v>28953</v>
      </c>
      <c r="N155" s="95">
        <f t="shared" si="126"/>
        <v>30848</v>
      </c>
      <c r="O155" s="95">
        <f t="shared" si="126"/>
        <v>33134</v>
      </c>
      <c r="P155" s="95">
        <f t="shared" si="126"/>
        <v>35910</v>
      </c>
      <c r="Q155" s="95">
        <f>SUM(Q152:Q154)</f>
        <v>39003</v>
      </c>
      <c r="R155" s="95">
        <f>SUM(R152:R154)</f>
        <v>42486</v>
      </c>
      <c r="S155" s="95">
        <f>SUM(S152:S154)</f>
        <v>46402</v>
      </c>
      <c r="V155" s="95">
        <f t="shared" ref="V155:AB155" si="127">-V147</f>
        <v>6890</v>
      </c>
      <c r="W155" s="95">
        <f t="shared" si="127"/>
        <v>10663</v>
      </c>
      <c r="X155" s="95">
        <f t="shared" si="127"/>
        <v>15418</v>
      </c>
      <c r="Y155" s="95">
        <f t="shared" si="127"/>
        <v>20080</v>
      </c>
      <c r="Z155" s="95">
        <f t="shared" si="127"/>
        <v>24975</v>
      </c>
      <c r="AA155" s="95">
        <f t="shared" si="127"/>
        <v>33134</v>
      </c>
      <c r="AB155" s="95">
        <f t="shared" si="127"/>
        <v>46402</v>
      </c>
      <c r="AC155" s="95">
        <f>SUM(AC152:AC154)</f>
        <v>63490.690236868715</v>
      </c>
      <c r="AD155" s="95">
        <f>SUM(AD152:AD154)</f>
        <v>87073.082158057237</v>
      </c>
      <c r="AE155" s="95"/>
      <c r="AF155" s="95"/>
    </row>
    <row r="157" spans="1:32" x14ac:dyDescent="0.2">
      <c r="B157" s="52" t="s">
        <v>492</v>
      </c>
      <c r="C157" s="53"/>
    </row>
    <row r="159" spans="1:32" x14ac:dyDescent="0.2">
      <c r="B159" t="s">
        <v>494</v>
      </c>
      <c r="D159" s="64">
        <f t="shared" ref="D159:P159" si="128">+D99</f>
        <v>22580</v>
      </c>
      <c r="E159" s="64">
        <f t="shared" si="128"/>
        <v>24085</v>
      </c>
      <c r="F159" s="64">
        <f t="shared" si="128"/>
        <v>25050</v>
      </c>
      <c r="G159" s="64">
        <f t="shared" si="128"/>
        <v>25584</v>
      </c>
      <c r="H159" s="64">
        <f t="shared" si="128"/>
        <v>27094</v>
      </c>
      <c r="I159" s="64">
        <f t="shared" si="128"/>
        <v>28996</v>
      </c>
      <c r="J159" s="64">
        <f t="shared" si="128"/>
        <v>31438</v>
      </c>
      <c r="K159" s="64">
        <f t="shared" si="128"/>
        <v>34330</v>
      </c>
      <c r="L159" s="64">
        <f t="shared" si="128"/>
        <v>37282</v>
      </c>
      <c r="M159" s="64">
        <f t="shared" si="128"/>
        <v>40824</v>
      </c>
      <c r="N159" s="64">
        <f t="shared" si="128"/>
        <v>44662</v>
      </c>
      <c r="O159" s="64">
        <f t="shared" si="128"/>
        <v>46838</v>
      </c>
      <c r="P159" s="64">
        <f t="shared" si="128"/>
        <v>51882</v>
      </c>
      <c r="Q159" s="268">
        <f>+($S159-$P159)/3+P159</f>
        <v>58021.333333333336</v>
      </c>
      <c r="R159" s="268">
        <f>+($S159-$P159)/3+Q159</f>
        <v>64160.666666666672</v>
      </c>
      <c r="S159" s="64">
        <f>+AB159</f>
        <v>70300</v>
      </c>
      <c r="U159" s="64">
        <f t="shared" ref="U159:AA161" si="129">+U99</f>
        <v>7998</v>
      </c>
      <c r="V159" s="64">
        <f t="shared" si="129"/>
        <v>13017</v>
      </c>
      <c r="W159" s="64">
        <f t="shared" si="129"/>
        <v>17004</v>
      </c>
      <c r="X159" s="64">
        <f t="shared" si="129"/>
        <v>22003</v>
      </c>
      <c r="Y159" s="64">
        <f t="shared" si="129"/>
        <v>25584</v>
      </c>
      <c r="Z159" s="64">
        <f t="shared" si="129"/>
        <v>34330</v>
      </c>
      <c r="AA159" s="64">
        <f t="shared" si="129"/>
        <v>46838</v>
      </c>
      <c r="AB159" s="83">
        <v>70300</v>
      </c>
      <c r="AC159" s="83">
        <v>101600</v>
      </c>
      <c r="AD159" s="83">
        <v>144000</v>
      </c>
      <c r="AE159" s="83"/>
      <c r="AF159" s="83"/>
    </row>
    <row r="160" spans="1:32" ht="13.5" x14ac:dyDescent="0.35">
      <c r="B160" t="s">
        <v>495</v>
      </c>
      <c r="D160" s="65">
        <f t="shared" ref="D160:P160" si="130">+D100</f>
        <v>41630</v>
      </c>
      <c r="E160" s="65">
        <f t="shared" si="130"/>
        <v>44559</v>
      </c>
      <c r="F160" s="65">
        <f t="shared" si="130"/>
        <v>47325</v>
      </c>
      <c r="G160" s="65">
        <f t="shared" si="130"/>
        <v>52305</v>
      </c>
      <c r="H160" s="65">
        <f t="shared" si="130"/>
        <v>55941</v>
      </c>
      <c r="I160" s="65">
        <f t="shared" si="130"/>
        <v>61026</v>
      </c>
      <c r="J160" s="65">
        <f t="shared" si="130"/>
        <v>65693</v>
      </c>
      <c r="K160" s="65">
        <f t="shared" si="130"/>
        <v>70163</v>
      </c>
      <c r="L160" s="65">
        <f t="shared" si="130"/>
        <v>73853</v>
      </c>
      <c r="M160" s="65">
        <f t="shared" si="130"/>
        <v>76078</v>
      </c>
      <c r="N160" s="65">
        <f t="shared" si="130"/>
        <v>77958</v>
      </c>
      <c r="O160" s="65">
        <f t="shared" si="130"/>
        <v>82883</v>
      </c>
      <c r="P160" s="65">
        <f t="shared" si="130"/>
        <v>82936</v>
      </c>
      <c r="Q160" s="65">
        <f>+Q161-Q159</f>
        <v>87196.666666666657</v>
      </c>
      <c r="R160" s="65">
        <f>+R161-R159</f>
        <v>91457.333333333328</v>
      </c>
      <c r="S160" s="65">
        <f>+S161-S159</f>
        <v>95718</v>
      </c>
      <c r="U160" s="65">
        <f t="shared" si="129"/>
        <v>10339</v>
      </c>
      <c r="V160" s="65">
        <f t="shared" si="129"/>
        <v>18556</v>
      </c>
      <c r="W160" s="65">
        <f t="shared" si="129"/>
        <v>28982</v>
      </c>
      <c r="X160" s="65">
        <f t="shared" si="129"/>
        <v>39048</v>
      </c>
      <c r="Y160" s="65">
        <f t="shared" si="129"/>
        <v>52305</v>
      </c>
      <c r="Z160" s="65">
        <f t="shared" si="129"/>
        <v>70163</v>
      </c>
      <c r="AA160" s="65">
        <f t="shared" si="129"/>
        <v>82883</v>
      </c>
      <c r="AB160" s="65">
        <f>+AB161-AB159</f>
        <v>95718</v>
      </c>
      <c r="AC160" s="65">
        <f>+AC161-AC159</f>
        <v>107718</v>
      </c>
      <c r="AD160" s="65">
        <f>+AD161-AD159</f>
        <v>114818</v>
      </c>
      <c r="AE160" s="65"/>
      <c r="AF160" s="65"/>
    </row>
    <row r="161" spans="1:32" x14ac:dyDescent="0.2">
      <c r="B161" s="110" t="s">
        <v>391</v>
      </c>
      <c r="D161" s="111">
        <f t="shared" ref="D161:P161" si="131">+D101</f>
        <v>64210</v>
      </c>
      <c r="E161" s="111">
        <f t="shared" si="131"/>
        <v>68644</v>
      </c>
      <c r="F161" s="111">
        <f t="shared" si="131"/>
        <v>72375</v>
      </c>
      <c r="G161" s="111">
        <f t="shared" si="131"/>
        <v>77889</v>
      </c>
      <c r="H161" s="111">
        <f t="shared" si="131"/>
        <v>83035</v>
      </c>
      <c r="I161" s="111">
        <f t="shared" si="131"/>
        <v>90022</v>
      </c>
      <c r="J161" s="111">
        <f t="shared" si="131"/>
        <v>97131</v>
      </c>
      <c r="K161" s="111">
        <f t="shared" si="131"/>
        <v>104493</v>
      </c>
      <c r="L161" s="111">
        <f t="shared" si="131"/>
        <v>111135</v>
      </c>
      <c r="M161" s="111">
        <f t="shared" si="131"/>
        <v>116902</v>
      </c>
      <c r="N161" s="111">
        <f t="shared" si="131"/>
        <v>122620</v>
      </c>
      <c r="O161" s="111">
        <f t="shared" si="131"/>
        <v>129721</v>
      </c>
      <c r="P161" s="111">
        <f t="shared" si="131"/>
        <v>134818</v>
      </c>
      <c r="Q161" s="118">
        <f>+Q168</f>
        <v>145218</v>
      </c>
      <c r="R161" s="118">
        <f>+R168</f>
        <v>155618</v>
      </c>
      <c r="S161" s="118">
        <f>+S168</f>
        <v>166018</v>
      </c>
      <c r="U161" s="111">
        <f t="shared" si="129"/>
        <v>18337</v>
      </c>
      <c r="V161" s="111">
        <f t="shared" si="129"/>
        <v>31573</v>
      </c>
      <c r="W161" s="111">
        <f t="shared" si="129"/>
        <v>45986</v>
      </c>
      <c r="X161" s="111">
        <f t="shared" si="129"/>
        <v>61051</v>
      </c>
      <c r="Y161" s="111">
        <f t="shared" si="129"/>
        <v>77889</v>
      </c>
      <c r="Z161" s="111">
        <f t="shared" si="129"/>
        <v>104493</v>
      </c>
      <c r="AA161" s="111">
        <f t="shared" si="129"/>
        <v>129721</v>
      </c>
      <c r="AB161" s="111">
        <f>+S161</f>
        <v>166018</v>
      </c>
      <c r="AC161" s="118">
        <f>+AC168</f>
        <v>209318</v>
      </c>
      <c r="AD161" s="118">
        <f>+AD168</f>
        <v>258818</v>
      </c>
      <c r="AE161" s="118"/>
      <c r="AF161" s="118"/>
    </row>
    <row r="162" spans="1:32" s="44" customFormat="1" x14ac:dyDescent="0.2">
      <c r="A162" s="254"/>
      <c r="B162" s="101" t="s">
        <v>514</v>
      </c>
      <c r="D162" s="120">
        <f t="shared" ref="D162:S162" si="132">+IFERROR(D159/D161,"n/a")</f>
        <v>0.35165862015262422</v>
      </c>
      <c r="E162" s="120">
        <f t="shared" si="132"/>
        <v>0.35086824777110892</v>
      </c>
      <c r="F162" s="120">
        <f t="shared" si="132"/>
        <v>0.34611398963730572</v>
      </c>
      <c r="G162" s="120">
        <f t="shared" si="132"/>
        <v>0.32846743442591381</v>
      </c>
      <c r="H162" s="120">
        <f t="shared" si="132"/>
        <v>0.32629614018185105</v>
      </c>
      <c r="I162" s="120">
        <f t="shared" si="132"/>
        <v>0.32209904245628845</v>
      </c>
      <c r="J162" s="120">
        <f t="shared" si="132"/>
        <v>0.32366597687658932</v>
      </c>
      <c r="K162" s="120">
        <f t="shared" si="132"/>
        <v>0.32853875379212005</v>
      </c>
      <c r="L162" s="120">
        <f t="shared" si="132"/>
        <v>0.33546587483691004</v>
      </c>
      <c r="M162" s="120">
        <f t="shared" si="132"/>
        <v>0.34921558228259569</v>
      </c>
      <c r="N162" s="120">
        <f t="shared" si="132"/>
        <v>0.36423095742945688</v>
      </c>
      <c r="O162" s="120">
        <f t="shared" si="132"/>
        <v>0.36106721348124049</v>
      </c>
      <c r="P162" s="120">
        <f t="shared" si="132"/>
        <v>0.38482991885356554</v>
      </c>
      <c r="Q162" s="120">
        <f t="shared" si="132"/>
        <v>0.39954642904690424</v>
      </c>
      <c r="R162" s="120">
        <f t="shared" si="132"/>
        <v>0.41229592120877195</v>
      </c>
      <c r="S162" s="120">
        <f t="shared" si="132"/>
        <v>0.42344805984893202</v>
      </c>
      <c r="T162" s="113"/>
      <c r="U162" s="113"/>
      <c r="V162" s="120">
        <f t="shared" ref="V162:AD162" si="133">+IFERROR(V159/V161,"n/a")</f>
        <v>0.41228264656510311</v>
      </c>
      <c r="W162" s="120">
        <f t="shared" si="133"/>
        <v>0.36976471099899971</v>
      </c>
      <c r="X162" s="120">
        <f t="shared" si="133"/>
        <v>0.36040359699267827</v>
      </c>
      <c r="Y162" s="120">
        <f t="shared" si="133"/>
        <v>0.32846743442591381</v>
      </c>
      <c r="Z162" s="120">
        <f t="shared" si="133"/>
        <v>0.32853875379212005</v>
      </c>
      <c r="AA162" s="120">
        <f t="shared" si="133"/>
        <v>0.36106721348124049</v>
      </c>
      <c r="AB162" s="120">
        <f t="shared" si="133"/>
        <v>0.42344805984893202</v>
      </c>
      <c r="AC162" s="120">
        <f t="shared" si="133"/>
        <v>0.48538587221356977</v>
      </c>
      <c r="AD162" s="120">
        <f t="shared" si="133"/>
        <v>0.55637552256798217</v>
      </c>
      <c r="AE162" s="120"/>
      <c r="AF162" s="120"/>
    </row>
    <row r="163" spans="1:32" x14ac:dyDescent="0.2">
      <c r="B163" s="110"/>
      <c r="C163" s="44"/>
      <c r="D163" s="113"/>
      <c r="E163" s="113"/>
      <c r="F163" s="113"/>
      <c r="G163" s="113"/>
      <c r="H163" s="113"/>
      <c r="I163" s="113"/>
      <c r="J163" s="113"/>
      <c r="K163" s="113"/>
      <c r="L163" s="113"/>
      <c r="M163" s="113"/>
      <c r="N163" s="113"/>
      <c r="O163" s="113"/>
      <c r="P163" s="113"/>
      <c r="Q163" s="118"/>
      <c r="R163" s="118"/>
      <c r="S163" s="118"/>
      <c r="T163" s="113"/>
      <c r="U163" s="113"/>
      <c r="V163" s="113"/>
      <c r="W163" s="113"/>
      <c r="X163" s="113"/>
      <c r="Y163" s="113"/>
      <c r="Z163" s="113"/>
      <c r="AA163" s="113"/>
      <c r="AB163" s="111"/>
      <c r="AC163" s="118"/>
      <c r="AD163" s="118"/>
      <c r="AE163" s="118"/>
      <c r="AF163" s="118"/>
    </row>
    <row r="164" spans="1:32" x14ac:dyDescent="0.2">
      <c r="B164" s="62" t="s">
        <v>19</v>
      </c>
      <c r="C164" s="44"/>
      <c r="D164" s="113"/>
      <c r="E164" s="113"/>
      <c r="F164" s="113"/>
      <c r="G164" s="113"/>
      <c r="H164" s="113"/>
      <c r="I164" s="113"/>
      <c r="J164" s="113"/>
      <c r="K164" s="113"/>
      <c r="L164" s="113"/>
      <c r="M164" s="113"/>
      <c r="N164" s="113"/>
      <c r="O164" s="113"/>
      <c r="P164" s="113"/>
      <c r="Q164" s="118"/>
      <c r="R164" s="118"/>
      <c r="S164" s="118"/>
      <c r="T164" s="113"/>
      <c r="U164" s="113"/>
      <c r="V164" s="113"/>
      <c r="W164" s="113"/>
      <c r="X164" s="113"/>
      <c r="Y164" s="113"/>
      <c r="Z164" s="113"/>
      <c r="AA164" s="113"/>
      <c r="AB164" s="111"/>
      <c r="AC164" s="118"/>
      <c r="AD164" s="118"/>
      <c r="AE164" s="118"/>
      <c r="AF164" s="118"/>
    </row>
    <row r="165" spans="1:32" x14ac:dyDescent="0.2">
      <c r="B165" s="60" t="s">
        <v>393</v>
      </c>
      <c r="C165" s="44"/>
      <c r="D165" s="100">
        <f>+X161</f>
        <v>61051</v>
      </c>
      <c r="E165" s="100">
        <f t="shared" ref="E165:S165" si="134">+D168</f>
        <v>64210</v>
      </c>
      <c r="F165" s="100">
        <f t="shared" si="134"/>
        <v>68644</v>
      </c>
      <c r="G165" s="100">
        <f t="shared" si="134"/>
        <v>72375</v>
      </c>
      <c r="H165" s="100">
        <f t="shared" si="134"/>
        <v>77889</v>
      </c>
      <c r="I165" s="100">
        <f t="shared" si="134"/>
        <v>83035</v>
      </c>
      <c r="J165" s="100">
        <f t="shared" si="134"/>
        <v>90022</v>
      </c>
      <c r="K165" s="100">
        <f t="shared" si="134"/>
        <v>97131</v>
      </c>
      <c r="L165" s="100">
        <f t="shared" si="134"/>
        <v>104493</v>
      </c>
      <c r="M165" s="100">
        <f t="shared" si="134"/>
        <v>111135</v>
      </c>
      <c r="N165" s="100">
        <f t="shared" si="134"/>
        <v>116902</v>
      </c>
      <c r="O165" s="100">
        <f t="shared" si="134"/>
        <v>122620</v>
      </c>
      <c r="P165" s="100">
        <f t="shared" si="134"/>
        <v>129721</v>
      </c>
      <c r="Q165" s="100">
        <f t="shared" si="134"/>
        <v>134818</v>
      </c>
      <c r="R165" s="100">
        <f t="shared" si="134"/>
        <v>145218</v>
      </c>
      <c r="S165" s="100">
        <f t="shared" si="134"/>
        <v>155618</v>
      </c>
      <c r="T165" s="113"/>
      <c r="U165" s="113"/>
      <c r="V165" s="100">
        <f>+U161</f>
        <v>18337</v>
      </c>
      <c r="W165" s="100">
        <f t="shared" ref="W165:AD165" si="135">+V168</f>
        <v>31573</v>
      </c>
      <c r="X165" s="100">
        <f t="shared" si="135"/>
        <v>45986</v>
      </c>
      <c r="Y165" s="100">
        <f t="shared" si="135"/>
        <v>61051</v>
      </c>
      <c r="Z165" s="100">
        <f t="shared" si="135"/>
        <v>77889</v>
      </c>
      <c r="AA165" s="100">
        <f t="shared" si="135"/>
        <v>104493</v>
      </c>
      <c r="AB165" s="100">
        <f t="shared" si="135"/>
        <v>129721</v>
      </c>
      <c r="AC165" s="100">
        <f t="shared" si="135"/>
        <v>166018</v>
      </c>
      <c r="AD165" s="100">
        <f t="shared" si="135"/>
        <v>209318</v>
      </c>
      <c r="AE165" s="100"/>
      <c r="AF165" s="100"/>
    </row>
    <row r="166" spans="1:32" x14ac:dyDescent="0.2">
      <c r="B166" s="60" t="s">
        <v>376</v>
      </c>
      <c r="C166" s="44"/>
      <c r="D166" s="100">
        <f t="shared" ref="D166:S166" si="136">+D183</f>
        <v>4272</v>
      </c>
      <c r="E166" s="100">
        <f t="shared" si="136"/>
        <v>4612</v>
      </c>
      <c r="F166" s="100">
        <f t="shared" si="136"/>
        <v>4313</v>
      </c>
      <c r="G166" s="100">
        <f t="shared" si="136"/>
        <v>5370</v>
      </c>
      <c r="H166" s="100">
        <f t="shared" si="136"/>
        <v>5441</v>
      </c>
      <c r="I166" s="100">
        <f t="shared" si="136"/>
        <v>7572</v>
      </c>
      <c r="J166" s="100">
        <f t="shared" si="136"/>
        <v>9375</v>
      </c>
      <c r="K166" s="100">
        <f t="shared" si="136"/>
        <v>9043</v>
      </c>
      <c r="L166" s="100">
        <f t="shared" si="136"/>
        <v>6842</v>
      </c>
      <c r="M166" s="100">
        <f t="shared" si="136"/>
        <v>6216</v>
      </c>
      <c r="N166" s="100">
        <f t="shared" si="136"/>
        <v>6543</v>
      </c>
      <c r="O166" s="100">
        <f t="shared" si="136"/>
        <v>7665</v>
      </c>
      <c r="P166" s="100">
        <f t="shared" si="136"/>
        <v>6400</v>
      </c>
      <c r="Q166" s="100">
        <f t="shared" si="136"/>
        <v>10400</v>
      </c>
      <c r="R166" s="100">
        <f t="shared" si="136"/>
        <v>10400</v>
      </c>
      <c r="S166" s="100">
        <f t="shared" si="136"/>
        <v>10400</v>
      </c>
      <c r="T166" s="113"/>
      <c r="U166" s="113"/>
      <c r="V166" s="100">
        <f t="shared" ref="V166:AD166" si="137">+V183</f>
        <v>13915</v>
      </c>
      <c r="W166" s="100">
        <f t="shared" si="137"/>
        <v>15102</v>
      </c>
      <c r="X166" s="100">
        <f t="shared" si="137"/>
        <v>15115</v>
      </c>
      <c r="Y166" s="100">
        <f t="shared" si="137"/>
        <v>18567</v>
      </c>
      <c r="Z166" s="100">
        <f t="shared" si="137"/>
        <v>31431</v>
      </c>
      <c r="AA166" s="100">
        <f t="shared" si="137"/>
        <v>27266</v>
      </c>
      <c r="AB166" s="100">
        <f t="shared" si="137"/>
        <v>37600</v>
      </c>
      <c r="AC166" s="100">
        <f t="shared" si="137"/>
        <v>43300</v>
      </c>
      <c r="AD166" s="100">
        <f t="shared" si="137"/>
        <v>49500</v>
      </c>
      <c r="AE166" s="100"/>
      <c r="AF166" s="100"/>
    </row>
    <row r="167" spans="1:32" ht="13.5" x14ac:dyDescent="0.35">
      <c r="B167" s="60" t="s">
        <v>33</v>
      </c>
      <c r="C167" s="44"/>
      <c r="D167" s="102">
        <f t="shared" ref="D167:P167" si="138">+D168-SUM(D165:D166)</f>
        <v>-1113</v>
      </c>
      <c r="E167" s="102">
        <f t="shared" si="138"/>
        <v>-178</v>
      </c>
      <c r="F167" s="102">
        <f t="shared" si="138"/>
        <v>-582</v>
      </c>
      <c r="G167" s="102">
        <f t="shared" si="138"/>
        <v>144</v>
      </c>
      <c r="H167" s="102">
        <f t="shared" si="138"/>
        <v>-295</v>
      </c>
      <c r="I167" s="102">
        <f t="shared" si="138"/>
        <v>-585</v>
      </c>
      <c r="J167" s="102">
        <f t="shared" si="138"/>
        <v>-2266</v>
      </c>
      <c r="K167" s="102">
        <f t="shared" si="138"/>
        <v>-1681</v>
      </c>
      <c r="L167" s="102">
        <f t="shared" si="138"/>
        <v>-200</v>
      </c>
      <c r="M167" s="102">
        <f t="shared" si="138"/>
        <v>-449</v>
      </c>
      <c r="N167" s="102">
        <f t="shared" si="138"/>
        <v>-825</v>
      </c>
      <c r="O167" s="102">
        <f t="shared" si="138"/>
        <v>-564</v>
      </c>
      <c r="P167" s="102">
        <f t="shared" si="138"/>
        <v>-1303</v>
      </c>
      <c r="Q167" s="103">
        <v>0</v>
      </c>
      <c r="R167" s="103">
        <v>0</v>
      </c>
      <c r="S167" s="103">
        <v>0</v>
      </c>
      <c r="T167" s="113"/>
      <c r="U167" s="113"/>
      <c r="V167" s="102">
        <f t="shared" ref="V167:AB167" si="139">+V168-SUM(V165:V166)</f>
        <v>-679</v>
      </c>
      <c r="W167" s="102">
        <f t="shared" si="139"/>
        <v>-689</v>
      </c>
      <c r="X167" s="102">
        <f t="shared" si="139"/>
        <v>-50</v>
      </c>
      <c r="Y167" s="102">
        <f t="shared" si="139"/>
        <v>-1729</v>
      </c>
      <c r="Z167" s="102">
        <f t="shared" si="139"/>
        <v>-4827</v>
      </c>
      <c r="AA167" s="102">
        <f t="shared" si="139"/>
        <v>-2038</v>
      </c>
      <c r="AB167" s="102">
        <f t="shared" si="139"/>
        <v>-1303</v>
      </c>
      <c r="AC167" s="103">
        <v>0</v>
      </c>
      <c r="AD167" s="103">
        <v>0</v>
      </c>
      <c r="AE167" s="103"/>
      <c r="AF167" s="103"/>
    </row>
    <row r="168" spans="1:32" x14ac:dyDescent="0.2">
      <c r="B168" s="101" t="s">
        <v>392</v>
      </c>
      <c r="C168" s="44"/>
      <c r="D168" s="100">
        <f t="shared" ref="D168:P168" si="140">+D161</f>
        <v>64210</v>
      </c>
      <c r="E168" s="100">
        <f t="shared" si="140"/>
        <v>68644</v>
      </c>
      <c r="F168" s="100">
        <f t="shared" si="140"/>
        <v>72375</v>
      </c>
      <c r="G168" s="100">
        <f t="shared" si="140"/>
        <v>77889</v>
      </c>
      <c r="H168" s="100">
        <f t="shared" si="140"/>
        <v>83035</v>
      </c>
      <c r="I168" s="100">
        <f t="shared" si="140"/>
        <v>90022</v>
      </c>
      <c r="J168" s="100">
        <f t="shared" si="140"/>
        <v>97131</v>
      </c>
      <c r="K168" s="100">
        <f t="shared" si="140"/>
        <v>104493</v>
      </c>
      <c r="L168" s="100">
        <f t="shared" si="140"/>
        <v>111135</v>
      </c>
      <c r="M168" s="100">
        <f t="shared" si="140"/>
        <v>116902</v>
      </c>
      <c r="N168" s="100">
        <f t="shared" si="140"/>
        <v>122620</v>
      </c>
      <c r="O168" s="100">
        <f t="shared" si="140"/>
        <v>129721</v>
      </c>
      <c r="P168" s="100">
        <f t="shared" si="140"/>
        <v>134818</v>
      </c>
      <c r="Q168" s="100">
        <f>SUM(Q165:Q167)</f>
        <v>145218</v>
      </c>
      <c r="R168" s="100">
        <f>SUM(R165:R167)</f>
        <v>155618</v>
      </c>
      <c r="S168" s="100">
        <f>SUM(S165:S167)</f>
        <v>166018</v>
      </c>
      <c r="T168" s="113"/>
      <c r="U168" s="100">
        <f t="shared" ref="U168:AB168" si="141">+U161</f>
        <v>18337</v>
      </c>
      <c r="V168" s="100">
        <f t="shared" si="141"/>
        <v>31573</v>
      </c>
      <c r="W168" s="100">
        <f t="shared" si="141"/>
        <v>45986</v>
      </c>
      <c r="X168" s="100">
        <f t="shared" si="141"/>
        <v>61051</v>
      </c>
      <c r="Y168" s="100">
        <f t="shared" si="141"/>
        <v>77889</v>
      </c>
      <c r="Z168" s="100">
        <f t="shared" si="141"/>
        <v>104493</v>
      </c>
      <c r="AA168" s="100">
        <f t="shared" si="141"/>
        <v>129721</v>
      </c>
      <c r="AB168" s="100">
        <f t="shared" si="141"/>
        <v>166018</v>
      </c>
      <c r="AC168" s="100">
        <f>SUM(AC165:AC167)</f>
        <v>209318</v>
      </c>
      <c r="AD168" s="100">
        <f>SUM(AD165:AD167)</f>
        <v>258818</v>
      </c>
      <c r="AE168" s="100"/>
      <c r="AF168" s="100"/>
    </row>
    <row r="169" spans="1:32" s="44" customFormat="1" ht="13.5" x14ac:dyDescent="0.35">
      <c r="A169" s="254"/>
      <c r="B169" s="60" t="s">
        <v>535</v>
      </c>
      <c r="D169" s="102" t="e">
        <f t="shared" ref="D169:P169" si="142">+D109</f>
        <v>#REF!</v>
      </c>
      <c r="E169" s="102" t="e">
        <f t="shared" si="142"/>
        <v>#REF!</v>
      </c>
      <c r="F169" s="102" t="e">
        <f t="shared" si="142"/>
        <v>#REF!</v>
      </c>
      <c r="G169" s="102" t="e">
        <f t="shared" si="142"/>
        <v>#REF!</v>
      </c>
      <c r="H169" s="102" t="e">
        <f t="shared" si="142"/>
        <v>#REF!</v>
      </c>
      <c r="I169" s="102" t="e">
        <f t="shared" si="142"/>
        <v>#REF!</v>
      </c>
      <c r="J169" s="102" t="e">
        <f t="shared" si="142"/>
        <v>#REF!</v>
      </c>
      <c r="K169" s="102" t="e">
        <f t="shared" si="142"/>
        <v>#REF!</v>
      </c>
      <c r="L169" s="102" t="e">
        <f t="shared" si="142"/>
        <v>#REF!</v>
      </c>
      <c r="M169" s="102" t="e">
        <f t="shared" si="142"/>
        <v>#REF!</v>
      </c>
      <c r="N169" s="102" t="e">
        <f t="shared" si="142"/>
        <v>#REF!</v>
      </c>
      <c r="O169" s="102" t="e">
        <f t="shared" si="142"/>
        <v>#REF!</v>
      </c>
      <c r="P169" s="102" t="e">
        <f t="shared" si="142"/>
        <v>#REF!</v>
      </c>
      <c r="Q169" s="102" t="e">
        <f>-Q171*Q168</f>
        <v>#REF!</v>
      </c>
      <c r="R169" s="102" t="e">
        <f>-R171*R168</f>
        <v>#REF!</v>
      </c>
      <c r="S169" s="102" t="e">
        <f>-S171*S168</f>
        <v>#REF!</v>
      </c>
      <c r="T169" s="192">
        <v>0</v>
      </c>
      <c r="U169" s="102" t="e">
        <f t="shared" ref="U169:AA169" si="143">+U109</f>
        <v>#REF!</v>
      </c>
      <c r="V169" s="102" t="e">
        <f t="shared" si="143"/>
        <v>#REF!</v>
      </c>
      <c r="W169" s="102" t="e">
        <f t="shared" si="143"/>
        <v>#REF!</v>
      </c>
      <c r="X169" s="102" t="e">
        <f t="shared" si="143"/>
        <v>#REF!</v>
      </c>
      <c r="Y169" s="102" t="e">
        <f t="shared" si="143"/>
        <v>#REF!</v>
      </c>
      <c r="Z169" s="102" t="e">
        <f t="shared" si="143"/>
        <v>#REF!</v>
      </c>
      <c r="AA169" s="102" t="e">
        <f t="shared" si="143"/>
        <v>#REF!</v>
      </c>
      <c r="AB169" s="102" t="e">
        <f>+S169</f>
        <v>#REF!</v>
      </c>
      <c r="AC169" s="102">
        <f>-AC171*AC168</f>
        <v>-41863.600000000006</v>
      </c>
      <c r="AD169" s="102">
        <f>-AD171*AD168</f>
        <v>-49175.42</v>
      </c>
      <c r="AE169" s="102"/>
      <c r="AF169" s="102"/>
    </row>
    <row r="170" spans="1:32" s="44" customFormat="1" x14ac:dyDescent="0.2">
      <c r="A170" s="254"/>
      <c r="B170" s="141" t="s">
        <v>534</v>
      </c>
      <c r="D170" s="271" t="e">
        <f t="shared" ref="D170:S170" si="144">+SUM(D168:D169)</f>
        <v>#REF!</v>
      </c>
      <c r="E170" s="271" t="e">
        <f t="shared" si="144"/>
        <v>#REF!</v>
      </c>
      <c r="F170" s="271" t="e">
        <f t="shared" si="144"/>
        <v>#REF!</v>
      </c>
      <c r="G170" s="271" t="e">
        <f t="shared" si="144"/>
        <v>#REF!</v>
      </c>
      <c r="H170" s="271" t="e">
        <f t="shared" si="144"/>
        <v>#REF!</v>
      </c>
      <c r="I170" s="271" t="e">
        <f t="shared" si="144"/>
        <v>#REF!</v>
      </c>
      <c r="J170" s="271" t="e">
        <f t="shared" si="144"/>
        <v>#REF!</v>
      </c>
      <c r="K170" s="271" t="e">
        <f t="shared" si="144"/>
        <v>#REF!</v>
      </c>
      <c r="L170" s="271" t="e">
        <f t="shared" si="144"/>
        <v>#REF!</v>
      </c>
      <c r="M170" s="271" t="e">
        <f t="shared" si="144"/>
        <v>#REF!</v>
      </c>
      <c r="N170" s="271" t="e">
        <f t="shared" si="144"/>
        <v>#REF!</v>
      </c>
      <c r="O170" s="271" t="e">
        <f t="shared" si="144"/>
        <v>#REF!</v>
      </c>
      <c r="P170" s="271" t="e">
        <f t="shared" si="144"/>
        <v>#REF!</v>
      </c>
      <c r="Q170" s="271" t="e">
        <f t="shared" si="144"/>
        <v>#REF!</v>
      </c>
      <c r="R170" s="271" t="e">
        <f t="shared" si="144"/>
        <v>#REF!</v>
      </c>
      <c r="S170" s="271" t="e">
        <f t="shared" si="144"/>
        <v>#REF!</v>
      </c>
      <c r="T170" s="113"/>
      <c r="U170" s="271" t="e">
        <f t="shared" ref="U170:AA170" si="145">+SUM(U168:U169)</f>
        <v>#REF!</v>
      </c>
      <c r="V170" s="271" t="e">
        <f t="shared" si="145"/>
        <v>#REF!</v>
      </c>
      <c r="W170" s="271" t="e">
        <f t="shared" si="145"/>
        <v>#REF!</v>
      </c>
      <c r="X170" s="271" t="e">
        <f t="shared" si="145"/>
        <v>#REF!</v>
      </c>
      <c r="Y170" s="271" t="e">
        <f t="shared" si="145"/>
        <v>#REF!</v>
      </c>
      <c r="Z170" s="271" t="e">
        <f t="shared" si="145"/>
        <v>#REF!</v>
      </c>
      <c r="AA170" s="271" t="e">
        <f t="shared" si="145"/>
        <v>#REF!</v>
      </c>
      <c r="AB170" s="271" t="e">
        <f>+S170</f>
        <v>#REF!</v>
      </c>
      <c r="AC170" s="271">
        <f>+SUM(AC168:AC169)</f>
        <v>167454.39999999999</v>
      </c>
      <c r="AD170" s="271">
        <f>+SUM(AD168:AD169)</f>
        <v>209642.58000000002</v>
      </c>
      <c r="AE170" s="271"/>
      <c r="AF170" s="271"/>
    </row>
    <row r="171" spans="1:32" s="44" customFormat="1" x14ac:dyDescent="0.2">
      <c r="A171" s="254"/>
      <c r="B171" s="67" t="s">
        <v>536</v>
      </c>
      <c r="D171" s="120" t="e">
        <f t="shared" ref="D171:P171" si="146">-D169/D168</f>
        <v>#REF!</v>
      </c>
      <c r="E171" s="120" t="e">
        <f t="shared" si="146"/>
        <v>#REF!</v>
      </c>
      <c r="F171" s="120" t="e">
        <f t="shared" si="146"/>
        <v>#REF!</v>
      </c>
      <c r="G171" s="120" t="e">
        <f t="shared" si="146"/>
        <v>#REF!</v>
      </c>
      <c r="H171" s="120" t="e">
        <f t="shared" si="146"/>
        <v>#REF!</v>
      </c>
      <c r="I171" s="120" t="e">
        <f t="shared" si="146"/>
        <v>#REF!</v>
      </c>
      <c r="J171" s="120" t="e">
        <f t="shared" si="146"/>
        <v>#REF!</v>
      </c>
      <c r="K171" s="120" t="e">
        <f t="shared" si="146"/>
        <v>#REF!</v>
      </c>
      <c r="L171" s="120" t="e">
        <f t="shared" si="146"/>
        <v>#REF!</v>
      </c>
      <c r="M171" s="120" t="e">
        <f t="shared" si="146"/>
        <v>#REF!</v>
      </c>
      <c r="N171" s="120" t="e">
        <f t="shared" si="146"/>
        <v>#REF!</v>
      </c>
      <c r="O171" s="120" t="e">
        <f t="shared" si="146"/>
        <v>#REF!</v>
      </c>
      <c r="P171" s="120" t="e">
        <f t="shared" si="146"/>
        <v>#REF!</v>
      </c>
      <c r="Q171" s="138" t="e">
        <f>+#REF!</f>
        <v>#REF!</v>
      </c>
      <c r="R171" s="138" t="e">
        <f>+#REF!</f>
        <v>#REF!</v>
      </c>
      <c r="S171" s="138" t="e">
        <f>+#REF!</f>
        <v>#REF!</v>
      </c>
      <c r="T171" s="113"/>
      <c r="U171" s="120" t="e">
        <f t="shared" ref="U171:AB171" si="147">-U169/U168</f>
        <v>#REF!</v>
      </c>
      <c r="V171" s="120" t="e">
        <f t="shared" si="147"/>
        <v>#REF!</v>
      </c>
      <c r="W171" s="120" t="e">
        <f t="shared" si="147"/>
        <v>#REF!</v>
      </c>
      <c r="X171" s="120" t="e">
        <f t="shared" si="147"/>
        <v>#REF!</v>
      </c>
      <c r="Y171" s="120" t="e">
        <f t="shared" si="147"/>
        <v>#REF!</v>
      </c>
      <c r="Z171" s="120" t="e">
        <f t="shared" si="147"/>
        <v>#REF!</v>
      </c>
      <c r="AA171" s="120" t="e">
        <f t="shared" si="147"/>
        <v>#REF!</v>
      </c>
      <c r="AB171" s="120" t="e">
        <f t="shared" si="147"/>
        <v>#REF!</v>
      </c>
      <c r="AC171" s="138">
        <f>+AC16</f>
        <v>0.2</v>
      </c>
      <c r="AD171" s="138">
        <f>+AD16</f>
        <v>0.19</v>
      </c>
      <c r="AE171" s="138"/>
      <c r="AF171" s="138"/>
    </row>
    <row r="172" spans="1:32" s="44" customFormat="1" x14ac:dyDescent="0.2">
      <c r="A172" s="254"/>
      <c r="B172" s="67"/>
      <c r="D172" s="120"/>
      <c r="E172" s="120"/>
      <c r="F172" s="120"/>
      <c r="G172" s="120"/>
      <c r="H172" s="120"/>
      <c r="I172" s="120"/>
      <c r="J172" s="120"/>
      <c r="K172" s="120"/>
      <c r="L172" s="120"/>
      <c r="M172" s="120"/>
      <c r="N172" s="120"/>
      <c r="O172" s="120"/>
      <c r="P172" s="120"/>
      <c r="Q172" s="138"/>
      <c r="R172" s="138"/>
      <c r="S172" s="138"/>
      <c r="T172" s="113"/>
      <c r="U172" s="120"/>
      <c r="V172" s="120"/>
      <c r="W172" s="120"/>
      <c r="X172" s="120"/>
      <c r="Y172" s="120"/>
      <c r="Z172" s="120"/>
      <c r="AA172" s="120"/>
      <c r="AB172" s="120"/>
      <c r="AC172" s="138"/>
      <c r="AD172" s="138"/>
      <c r="AE172" s="138"/>
      <c r="AF172" s="138"/>
    </row>
    <row r="173" spans="1:32" s="44" customFormat="1" x14ac:dyDescent="0.2">
      <c r="A173" s="254"/>
      <c r="B173" s="89" t="s">
        <v>17</v>
      </c>
      <c r="D173" s="120"/>
      <c r="E173" s="120"/>
      <c r="F173" s="120"/>
      <c r="G173" s="120"/>
      <c r="H173" s="120"/>
      <c r="I173" s="120"/>
      <c r="J173" s="120"/>
      <c r="K173" s="120"/>
      <c r="L173" s="120"/>
      <c r="M173" s="120"/>
      <c r="N173" s="120"/>
      <c r="O173" s="120"/>
      <c r="P173" s="120"/>
      <c r="Q173" s="138"/>
      <c r="R173" s="138"/>
      <c r="S173" s="138"/>
      <c r="T173" s="113"/>
      <c r="U173" s="120"/>
      <c r="V173" s="120"/>
      <c r="W173" s="120"/>
      <c r="X173" s="120"/>
      <c r="Y173" s="120"/>
      <c r="Z173" s="120"/>
      <c r="AA173" s="120"/>
      <c r="AB173" s="120"/>
      <c r="AC173" s="138"/>
      <c r="AD173" s="138"/>
      <c r="AE173" s="138"/>
      <c r="AF173" s="138"/>
    </row>
    <row r="174" spans="1:32" s="44" customFormat="1" x14ac:dyDescent="0.2">
      <c r="A174" s="254"/>
      <c r="B174" s="101" t="s">
        <v>392</v>
      </c>
      <c r="D174" s="120"/>
      <c r="E174" s="120"/>
      <c r="F174" s="120"/>
      <c r="G174" s="120"/>
      <c r="H174" s="120">
        <f t="shared" ref="H174:S174" si="148">+IFERROR(H168/D168-1,"n/a")</f>
        <v>0.29317863261174271</v>
      </c>
      <c r="I174" s="120">
        <f t="shared" si="148"/>
        <v>0.31143290018064218</v>
      </c>
      <c r="J174" s="120">
        <f t="shared" si="148"/>
        <v>0.34205181347150249</v>
      </c>
      <c r="K174" s="120">
        <f t="shared" si="148"/>
        <v>0.34156299349073671</v>
      </c>
      <c r="L174" s="120">
        <f t="shared" si="148"/>
        <v>0.33841151321731799</v>
      </c>
      <c r="M174" s="120">
        <f t="shared" si="148"/>
        <v>0.29859367710115303</v>
      </c>
      <c r="N174" s="120">
        <f t="shared" si="148"/>
        <v>0.26241879523530076</v>
      </c>
      <c r="O174" s="120">
        <f t="shared" si="148"/>
        <v>0.24143244045055656</v>
      </c>
      <c r="P174" s="120">
        <f t="shared" si="148"/>
        <v>0.21310118324560223</v>
      </c>
      <c r="Q174" s="120">
        <f t="shared" si="148"/>
        <v>0.24221997912781656</v>
      </c>
      <c r="R174" s="120">
        <f t="shared" si="148"/>
        <v>0.26910781275485229</v>
      </c>
      <c r="S174" s="120">
        <f t="shared" si="148"/>
        <v>0.27980820376037796</v>
      </c>
      <c r="T174" s="113"/>
      <c r="U174" s="120"/>
      <c r="V174" s="120">
        <f t="shared" ref="V174:AD174" si="149">+IFERROR(V168/U168-1,"n/a")</f>
        <v>0.72181927250913458</v>
      </c>
      <c r="W174" s="120">
        <f t="shared" si="149"/>
        <v>0.45649764038893981</v>
      </c>
      <c r="X174" s="120">
        <f t="shared" si="149"/>
        <v>0.32759970425781759</v>
      </c>
      <c r="Y174" s="120">
        <f t="shared" si="149"/>
        <v>0.27580219816219231</v>
      </c>
      <c r="Z174" s="120">
        <f t="shared" si="149"/>
        <v>0.34156299349073671</v>
      </c>
      <c r="AA174" s="120">
        <f t="shared" si="149"/>
        <v>0.24143244045055656</v>
      </c>
      <c r="AB174" s="120">
        <f t="shared" si="149"/>
        <v>0.27980820376037796</v>
      </c>
      <c r="AC174" s="120">
        <f t="shared" si="149"/>
        <v>0.26081509233938482</v>
      </c>
      <c r="AD174" s="120">
        <f t="shared" si="149"/>
        <v>0.2364822901040522</v>
      </c>
      <c r="AE174" s="120"/>
      <c r="AF174" s="120"/>
    </row>
    <row r="175" spans="1:32" s="44" customFormat="1" x14ac:dyDescent="0.2">
      <c r="A175" s="254"/>
      <c r="B175" s="101" t="s">
        <v>534</v>
      </c>
      <c r="D175" s="120"/>
      <c r="E175" s="120"/>
      <c r="F175" s="120"/>
      <c r="G175" s="120"/>
      <c r="H175" s="120" t="str">
        <f t="shared" ref="H175:S175" si="150">+IFERROR(H170/D170-1,"n/a")</f>
        <v>n/a</v>
      </c>
      <c r="I175" s="120" t="str">
        <f t="shared" si="150"/>
        <v>n/a</v>
      </c>
      <c r="J175" s="120" t="str">
        <f t="shared" si="150"/>
        <v>n/a</v>
      </c>
      <c r="K175" s="120" t="str">
        <f t="shared" si="150"/>
        <v>n/a</v>
      </c>
      <c r="L175" s="120" t="str">
        <f t="shared" si="150"/>
        <v>n/a</v>
      </c>
      <c r="M175" s="120" t="str">
        <f t="shared" si="150"/>
        <v>n/a</v>
      </c>
      <c r="N175" s="120" t="str">
        <f t="shared" si="150"/>
        <v>n/a</v>
      </c>
      <c r="O175" s="120" t="str">
        <f t="shared" si="150"/>
        <v>n/a</v>
      </c>
      <c r="P175" s="120" t="str">
        <f t="shared" si="150"/>
        <v>n/a</v>
      </c>
      <c r="Q175" s="120" t="str">
        <f t="shared" si="150"/>
        <v>n/a</v>
      </c>
      <c r="R175" s="120" t="str">
        <f t="shared" si="150"/>
        <v>n/a</v>
      </c>
      <c r="S175" s="120" t="str">
        <f t="shared" si="150"/>
        <v>n/a</v>
      </c>
      <c r="T175" s="113"/>
      <c r="U175" s="120"/>
      <c r="V175" s="120" t="str">
        <f t="shared" ref="V175:AD175" si="151">+IFERROR(V170/U170-1,"n/a")</f>
        <v>n/a</v>
      </c>
      <c r="W175" s="120" t="str">
        <f t="shared" si="151"/>
        <v>n/a</v>
      </c>
      <c r="X175" s="120" t="str">
        <f t="shared" si="151"/>
        <v>n/a</v>
      </c>
      <c r="Y175" s="120" t="str">
        <f t="shared" si="151"/>
        <v>n/a</v>
      </c>
      <c r="Z175" s="120" t="str">
        <f t="shared" si="151"/>
        <v>n/a</v>
      </c>
      <c r="AA175" s="120" t="str">
        <f t="shared" si="151"/>
        <v>n/a</v>
      </c>
      <c r="AB175" s="120" t="str">
        <f t="shared" si="151"/>
        <v>n/a</v>
      </c>
      <c r="AC175" s="120" t="str">
        <f t="shared" si="151"/>
        <v>n/a</v>
      </c>
      <c r="AD175" s="120">
        <f t="shared" si="151"/>
        <v>0.25193831873035299</v>
      </c>
      <c r="AE175" s="120"/>
      <c r="AF175" s="120"/>
    </row>
    <row r="176" spans="1:32" x14ac:dyDescent="0.2">
      <c r="B176" s="101"/>
      <c r="C176" s="44"/>
      <c r="D176" s="100"/>
      <c r="E176" s="100"/>
      <c r="F176" s="100"/>
      <c r="G176" s="100"/>
      <c r="H176" s="100"/>
      <c r="I176" s="100"/>
      <c r="J176" s="100"/>
      <c r="K176" s="100"/>
      <c r="L176" s="100"/>
      <c r="M176" s="100"/>
      <c r="N176" s="100"/>
      <c r="O176" s="100"/>
      <c r="P176" s="100"/>
      <c r="Q176" s="100"/>
      <c r="R176" s="100"/>
      <c r="S176" s="100"/>
      <c r="T176" s="113"/>
      <c r="U176" s="113"/>
      <c r="V176" s="100"/>
      <c r="W176" s="100"/>
      <c r="X176" s="100"/>
      <c r="Y176" s="100"/>
      <c r="Z176" s="100"/>
      <c r="AA176" s="100"/>
      <c r="AB176" s="100"/>
      <c r="AC176" s="100"/>
      <c r="AD176" s="100"/>
      <c r="AE176" s="100"/>
      <c r="AF176" s="100"/>
    </row>
    <row r="177" spans="2:32" x14ac:dyDescent="0.2">
      <c r="B177" s="62" t="s">
        <v>19</v>
      </c>
      <c r="C177" s="44"/>
      <c r="D177" s="100"/>
      <c r="E177" s="100"/>
      <c r="F177" s="100"/>
      <c r="G177" s="100"/>
      <c r="H177" s="100"/>
      <c r="I177" s="100"/>
      <c r="J177" s="100"/>
      <c r="K177" s="100"/>
      <c r="L177" s="100"/>
      <c r="M177" s="100"/>
      <c r="N177" s="100"/>
      <c r="O177" s="100"/>
      <c r="P177" s="100"/>
      <c r="Q177" s="100"/>
      <c r="R177" s="100"/>
      <c r="S177" s="100"/>
      <c r="T177" s="113"/>
      <c r="U177" s="113"/>
      <c r="V177" s="100"/>
      <c r="W177" s="100"/>
      <c r="X177" s="100"/>
      <c r="Y177" s="100"/>
      <c r="Z177" s="100"/>
      <c r="AA177" s="100"/>
      <c r="AB177" s="100"/>
      <c r="AC177" s="100"/>
      <c r="AD177" s="100"/>
      <c r="AE177" s="100"/>
      <c r="AF177" s="100"/>
    </row>
    <row r="178" spans="2:32" x14ac:dyDescent="0.2">
      <c r="B178" s="60" t="s">
        <v>510</v>
      </c>
      <c r="C178" s="44"/>
      <c r="D178" s="100"/>
      <c r="E178" s="100"/>
      <c r="F178" s="100"/>
      <c r="G178" s="100"/>
      <c r="H178" s="100"/>
      <c r="I178" s="100"/>
      <c r="J178" s="100"/>
      <c r="K178" s="100"/>
      <c r="L178" s="100"/>
      <c r="M178" s="100"/>
      <c r="N178" s="100"/>
      <c r="O178" s="100"/>
      <c r="P178" s="100">
        <f t="shared" ref="P178:S179" si="152">+P159-O159</f>
        <v>5044</v>
      </c>
      <c r="Q178" s="100">
        <f t="shared" si="152"/>
        <v>6139.3333333333358</v>
      </c>
      <c r="R178" s="100">
        <f t="shared" si="152"/>
        <v>6139.3333333333358</v>
      </c>
      <c r="S178" s="100">
        <f t="shared" si="152"/>
        <v>6139.3333333333285</v>
      </c>
      <c r="T178" s="113"/>
      <c r="U178" s="113"/>
      <c r="V178" s="100"/>
      <c r="W178" s="100"/>
      <c r="X178" s="100"/>
      <c r="Y178" s="100"/>
      <c r="Z178" s="100"/>
      <c r="AA178" s="100"/>
      <c r="AB178" s="100">
        <f t="shared" ref="AB178:AD179" si="153">+AB159-AA159</f>
        <v>23462</v>
      </c>
      <c r="AC178" s="100">
        <f t="shared" si="153"/>
        <v>31300</v>
      </c>
      <c r="AD178" s="100">
        <f t="shared" si="153"/>
        <v>42400</v>
      </c>
      <c r="AE178" s="100"/>
      <c r="AF178" s="100"/>
    </row>
    <row r="179" spans="2:32" x14ac:dyDescent="0.2">
      <c r="B179" s="60" t="s">
        <v>511</v>
      </c>
      <c r="C179" s="44"/>
      <c r="D179" s="100"/>
      <c r="E179" s="100"/>
      <c r="F179" s="100"/>
      <c r="G179" s="100"/>
      <c r="H179" s="100"/>
      <c r="I179" s="100"/>
      <c r="J179" s="100"/>
      <c r="K179" s="100"/>
      <c r="L179" s="100"/>
      <c r="M179" s="100"/>
      <c r="N179" s="100"/>
      <c r="O179" s="100"/>
      <c r="P179" s="100">
        <f t="shared" si="152"/>
        <v>53</v>
      </c>
      <c r="Q179" s="100">
        <f t="shared" si="152"/>
        <v>4260.666666666657</v>
      </c>
      <c r="R179" s="100">
        <f t="shared" si="152"/>
        <v>4260.6666666666715</v>
      </c>
      <c r="S179" s="100">
        <f t="shared" si="152"/>
        <v>4260.6666666666715</v>
      </c>
      <c r="T179" s="113"/>
      <c r="U179" s="113"/>
      <c r="V179" s="100"/>
      <c r="W179" s="100"/>
      <c r="X179" s="100"/>
      <c r="Y179" s="100"/>
      <c r="Z179" s="100"/>
      <c r="AA179" s="100"/>
      <c r="AB179" s="100">
        <f t="shared" si="153"/>
        <v>12835</v>
      </c>
      <c r="AC179" s="100">
        <f t="shared" si="153"/>
        <v>12000</v>
      </c>
      <c r="AD179" s="100">
        <f t="shared" si="153"/>
        <v>7100</v>
      </c>
      <c r="AE179" s="100"/>
      <c r="AF179" s="100"/>
    </row>
    <row r="181" spans="2:32" x14ac:dyDescent="0.2">
      <c r="B181" t="s">
        <v>496</v>
      </c>
      <c r="D181" s="84" t="str">
        <f t="shared" ref="D181:O181" si="154">+D117</f>
        <v>n/a</v>
      </c>
      <c r="E181" s="84" t="str">
        <f t="shared" si="154"/>
        <v>n/a</v>
      </c>
      <c r="F181" s="84" t="str">
        <f t="shared" si="154"/>
        <v>n/a</v>
      </c>
      <c r="G181" s="84" t="str">
        <f t="shared" si="154"/>
        <v>n/a</v>
      </c>
      <c r="H181" s="84" t="str">
        <f t="shared" si="154"/>
        <v>n/a</v>
      </c>
      <c r="I181" s="84" t="str">
        <f t="shared" si="154"/>
        <v>n/a</v>
      </c>
      <c r="J181" s="84" t="str">
        <f t="shared" si="154"/>
        <v>n/a</v>
      </c>
      <c r="K181" s="84" t="str">
        <f t="shared" si="154"/>
        <v>n/a</v>
      </c>
      <c r="L181" s="84" t="str">
        <f t="shared" si="154"/>
        <v>n/a</v>
      </c>
      <c r="M181" s="84" t="str">
        <f t="shared" si="154"/>
        <v>n/a</v>
      </c>
      <c r="N181" s="84" t="str">
        <f t="shared" si="154"/>
        <v>n/a</v>
      </c>
      <c r="O181" s="84" t="str">
        <f t="shared" si="154"/>
        <v>n/a</v>
      </c>
      <c r="P181" s="87">
        <f>+P183-P182</f>
        <v>4900</v>
      </c>
      <c r="Q181" s="87">
        <f>+Q183-Q182</f>
        <v>6100</v>
      </c>
      <c r="R181" s="87">
        <f>+R183-R182</f>
        <v>6100</v>
      </c>
      <c r="S181" s="87">
        <f>+S183-S182</f>
        <v>6100</v>
      </c>
      <c r="T181" s="260"/>
      <c r="U181" s="260"/>
      <c r="V181" s="84" t="str">
        <f t="shared" ref="V181:AA184" si="155">+V117</f>
        <v>n/a</v>
      </c>
      <c r="W181" s="84" t="str">
        <f t="shared" si="155"/>
        <v>n/a</v>
      </c>
      <c r="X181" s="84" t="str">
        <f t="shared" si="155"/>
        <v>n/a</v>
      </c>
      <c r="Y181" s="84" t="str">
        <f t="shared" si="155"/>
        <v>n/a</v>
      </c>
      <c r="Z181" s="84" t="str">
        <f t="shared" si="155"/>
        <v>n/a</v>
      </c>
      <c r="AA181" s="84" t="str">
        <f t="shared" si="155"/>
        <v>n/a</v>
      </c>
      <c r="AB181" s="81">
        <v>23200</v>
      </c>
      <c r="AC181" s="83">
        <v>26700</v>
      </c>
      <c r="AD181" s="83">
        <v>30500</v>
      </c>
      <c r="AE181" s="83"/>
      <c r="AF181" s="83"/>
    </row>
    <row r="182" spans="2:32" ht="13.5" x14ac:dyDescent="0.35">
      <c r="B182" t="s">
        <v>497</v>
      </c>
      <c r="D182" s="86" t="str">
        <f t="shared" ref="D182:O182" si="156">+D118</f>
        <v>n/a</v>
      </c>
      <c r="E182" s="86" t="str">
        <f t="shared" si="156"/>
        <v>n/a</v>
      </c>
      <c r="F182" s="86" t="str">
        <f t="shared" si="156"/>
        <v>n/a</v>
      </c>
      <c r="G182" s="86" t="str">
        <f t="shared" si="156"/>
        <v>n/a</v>
      </c>
      <c r="H182" s="86" t="str">
        <f t="shared" si="156"/>
        <v>n/a</v>
      </c>
      <c r="I182" s="86" t="str">
        <f t="shared" si="156"/>
        <v>n/a</v>
      </c>
      <c r="J182" s="86" t="str">
        <f t="shared" si="156"/>
        <v>n/a</v>
      </c>
      <c r="K182" s="86" t="str">
        <f t="shared" si="156"/>
        <v>n/a</v>
      </c>
      <c r="L182" s="86" t="str">
        <f t="shared" si="156"/>
        <v>n/a</v>
      </c>
      <c r="M182" s="86" t="str">
        <f t="shared" si="156"/>
        <v>n/a</v>
      </c>
      <c r="N182" s="86" t="str">
        <f t="shared" si="156"/>
        <v>n/a</v>
      </c>
      <c r="O182" s="86" t="str">
        <f t="shared" si="156"/>
        <v>n/a</v>
      </c>
      <c r="P182" s="71">
        <v>1500</v>
      </c>
      <c r="Q182" s="71">
        <f t="shared" ref="Q182:S183" si="157">+($AB182-$P182)/3</f>
        <v>4300</v>
      </c>
      <c r="R182" s="71">
        <f t="shared" si="157"/>
        <v>4300</v>
      </c>
      <c r="S182" s="71">
        <f t="shared" si="157"/>
        <v>4300</v>
      </c>
      <c r="T182" s="260"/>
      <c r="U182" s="260"/>
      <c r="V182" s="86" t="str">
        <f t="shared" si="155"/>
        <v>n/a</v>
      </c>
      <c r="W182" s="86" t="str">
        <f t="shared" si="155"/>
        <v>n/a</v>
      </c>
      <c r="X182" s="86" t="str">
        <f t="shared" si="155"/>
        <v>n/a</v>
      </c>
      <c r="Y182" s="86" t="str">
        <f t="shared" si="155"/>
        <v>n/a</v>
      </c>
      <c r="Z182" s="86" t="str">
        <f t="shared" si="155"/>
        <v>n/a</v>
      </c>
      <c r="AA182" s="86" t="str">
        <f t="shared" si="155"/>
        <v>n/a</v>
      </c>
      <c r="AB182" s="65">
        <f>+AB183-AB181</f>
        <v>14400</v>
      </c>
      <c r="AC182" s="65">
        <f>+AC183-AC181</f>
        <v>16600</v>
      </c>
      <c r="AD182" s="65">
        <f>+AD183-AD181</f>
        <v>19000</v>
      </c>
      <c r="AE182" s="65"/>
      <c r="AF182" s="65"/>
    </row>
    <row r="183" spans="2:32" x14ac:dyDescent="0.2">
      <c r="B183" s="110" t="s">
        <v>498</v>
      </c>
      <c r="D183" s="212">
        <f t="shared" ref="D183:O183" si="158">+D119</f>
        <v>4272</v>
      </c>
      <c r="E183" s="212">
        <f t="shared" si="158"/>
        <v>4612</v>
      </c>
      <c r="F183" s="212">
        <f t="shared" si="158"/>
        <v>4313</v>
      </c>
      <c r="G183" s="212">
        <f t="shared" si="158"/>
        <v>5370</v>
      </c>
      <c r="H183" s="212">
        <f t="shared" si="158"/>
        <v>5441</v>
      </c>
      <c r="I183" s="212">
        <f t="shared" si="158"/>
        <v>7572</v>
      </c>
      <c r="J183" s="212">
        <f t="shared" si="158"/>
        <v>9375</v>
      </c>
      <c r="K183" s="212">
        <f t="shared" si="158"/>
        <v>9043</v>
      </c>
      <c r="L183" s="212">
        <f t="shared" si="158"/>
        <v>6842</v>
      </c>
      <c r="M183" s="212">
        <f t="shared" si="158"/>
        <v>6216</v>
      </c>
      <c r="N183" s="212">
        <f t="shared" si="158"/>
        <v>6543</v>
      </c>
      <c r="O183" s="212">
        <f t="shared" si="158"/>
        <v>7665</v>
      </c>
      <c r="P183" s="212">
        <f>+P119</f>
        <v>6400</v>
      </c>
      <c r="Q183" s="265">
        <f t="shared" si="157"/>
        <v>10400</v>
      </c>
      <c r="R183" s="265">
        <f t="shared" si="157"/>
        <v>10400</v>
      </c>
      <c r="S183" s="265">
        <f t="shared" si="157"/>
        <v>10400</v>
      </c>
      <c r="T183" s="260"/>
      <c r="U183" s="260"/>
      <c r="V183" s="212">
        <f t="shared" si="155"/>
        <v>13915</v>
      </c>
      <c r="W183" s="212">
        <f t="shared" si="155"/>
        <v>15102</v>
      </c>
      <c r="X183" s="212">
        <f t="shared" si="155"/>
        <v>15115</v>
      </c>
      <c r="Y183" s="212">
        <f t="shared" si="155"/>
        <v>18567</v>
      </c>
      <c r="Z183" s="212">
        <f t="shared" si="155"/>
        <v>31431</v>
      </c>
      <c r="AA183" s="212">
        <f t="shared" si="155"/>
        <v>27266</v>
      </c>
      <c r="AB183" s="113">
        <f>23200+14400</f>
        <v>37600</v>
      </c>
      <c r="AC183" s="264">
        <f>26700+16600</f>
        <v>43300</v>
      </c>
      <c r="AD183" s="264">
        <f>30500+19000</f>
        <v>49500</v>
      </c>
      <c r="AE183" s="264"/>
      <c r="AF183" s="264"/>
    </row>
    <row r="184" spans="2:32" x14ac:dyDescent="0.2">
      <c r="B184" s="60" t="s">
        <v>506</v>
      </c>
      <c r="D184" s="203">
        <f t="shared" ref="D184:O184" si="159">+D120</f>
        <v>4423</v>
      </c>
      <c r="E184" s="203">
        <f t="shared" si="159"/>
        <v>4735</v>
      </c>
      <c r="F184" s="203">
        <f t="shared" si="159"/>
        <v>4544</v>
      </c>
      <c r="G184" s="203">
        <f t="shared" si="159"/>
        <v>5542</v>
      </c>
      <c r="H184" s="203">
        <f t="shared" si="159"/>
        <v>5548</v>
      </c>
      <c r="I184" s="203">
        <f t="shared" si="159"/>
        <v>7747</v>
      </c>
      <c r="J184" s="203">
        <f t="shared" si="159"/>
        <v>9518</v>
      </c>
      <c r="K184" s="203">
        <f t="shared" si="159"/>
        <v>9223</v>
      </c>
      <c r="L184" s="203">
        <f t="shared" si="159"/>
        <v>7087</v>
      </c>
      <c r="M184" s="203">
        <f t="shared" si="159"/>
        <v>6354</v>
      </c>
      <c r="N184" s="203">
        <f t="shared" si="159"/>
        <v>6763</v>
      </c>
      <c r="O184" s="203">
        <f t="shared" si="159"/>
        <v>7899</v>
      </c>
      <c r="P184" s="203">
        <f>+P120</f>
        <v>6715</v>
      </c>
      <c r="Q184" s="266">
        <f>+P184-P183+Q183</f>
        <v>10715</v>
      </c>
      <c r="R184" s="266">
        <f>+Q184-Q183+R183</f>
        <v>10715</v>
      </c>
      <c r="S184" s="266">
        <f>+R184-R183+S183</f>
        <v>10715</v>
      </c>
      <c r="T184" s="261"/>
      <c r="U184" s="261"/>
      <c r="V184" s="203">
        <f t="shared" si="155"/>
        <v>13914</v>
      </c>
      <c r="W184" s="203">
        <f t="shared" si="155"/>
        <v>15654</v>
      </c>
      <c r="X184" s="203">
        <f t="shared" si="155"/>
        <v>15718</v>
      </c>
      <c r="Y184" s="203">
        <f t="shared" si="155"/>
        <v>19244</v>
      </c>
      <c r="Z184" s="203">
        <f t="shared" si="155"/>
        <v>32036</v>
      </c>
      <c r="AA184" s="203">
        <f t="shared" si="155"/>
        <v>28103</v>
      </c>
      <c r="AB184" s="95">
        <f>+SUM(P184:S184)</f>
        <v>38860</v>
      </c>
      <c r="AC184" s="266">
        <f>+AB184-AB183+AC183</f>
        <v>44560</v>
      </c>
      <c r="AD184" s="266">
        <f>+AC184-AC183+AD183</f>
        <v>50760</v>
      </c>
      <c r="AE184" s="266"/>
      <c r="AF184" s="266"/>
    </row>
    <row r="185" spans="2:32" x14ac:dyDescent="0.2">
      <c r="B185" s="60"/>
      <c r="D185" s="115"/>
      <c r="E185" s="115"/>
      <c r="F185" s="115"/>
      <c r="G185" s="115"/>
      <c r="H185" s="115"/>
      <c r="I185" s="115"/>
      <c r="J185" s="115"/>
      <c r="K185" s="115"/>
      <c r="L185" s="115"/>
      <c r="M185" s="115"/>
      <c r="N185" s="115"/>
      <c r="O185" s="115"/>
      <c r="P185" s="115"/>
      <c r="Q185" s="258"/>
      <c r="R185" s="258"/>
      <c r="S185" s="258"/>
      <c r="V185" s="115"/>
      <c r="W185" s="115"/>
      <c r="X185" s="115"/>
      <c r="Y185" s="115"/>
      <c r="Z185" s="115"/>
      <c r="AA185" s="115"/>
      <c r="AB185" s="95"/>
      <c r="AC185" s="258"/>
      <c r="AD185" s="258"/>
      <c r="AE185" s="258"/>
      <c r="AF185" s="258"/>
    </row>
    <row r="186" spans="2:32" x14ac:dyDescent="0.2">
      <c r="B186" s="62" t="s">
        <v>19</v>
      </c>
      <c r="D186" s="115"/>
      <c r="E186" s="115"/>
      <c r="F186" s="115"/>
      <c r="G186" s="115"/>
      <c r="H186" s="115"/>
      <c r="I186" s="115"/>
      <c r="J186" s="115"/>
      <c r="K186" s="115"/>
      <c r="L186" s="115"/>
      <c r="M186" s="115"/>
      <c r="N186" s="115"/>
      <c r="O186" s="115"/>
      <c r="P186" s="115"/>
      <c r="Q186" s="258"/>
      <c r="R186" s="258"/>
      <c r="S186" s="258"/>
      <c r="V186" s="115"/>
      <c r="W186" s="115"/>
      <c r="X186" s="115"/>
      <c r="Y186" s="115"/>
      <c r="Z186" s="115"/>
      <c r="AA186" s="115"/>
      <c r="AB186" s="95"/>
      <c r="AC186" s="258"/>
      <c r="AD186" s="258"/>
      <c r="AE186" s="258"/>
      <c r="AF186" s="258"/>
    </row>
    <row r="187" spans="2:32" x14ac:dyDescent="0.2">
      <c r="B187" s="60" t="s">
        <v>376</v>
      </c>
      <c r="D187" s="100">
        <f t="shared" ref="D187:S187" si="160">+D183</f>
        <v>4272</v>
      </c>
      <c r="E187" s="100">
        <f t="shared" si="160"/>
        <v>4612</v>
      </c>
      <c r="F187" s="100">
        <f t="shared" si="160"/>
        <v>4313</v>
      </c>
      <c r="G187" s="100">
        <f t="shared" si="160"/>
        <v>5370</v>
      </c>
      <c r="H187" s="100">
        <f t="shared" si="160"/>
        <v>5441</v>
      </c>
      <c r="I187" s="100">
        <f t="shared" si="160"/>
        <v>7572</v>
      </c>
      <c r="J187" s="100">
        <f t="shared" si="160"/>
        <v>9375</v>
      </c>
      <c r="K187" s="100">
        <f t="shared" si="160"/>
        <v>9043</v>
      </c>
      <c r="L187" s="100">
        <f t="shared" si="160"/>
        <v>6842</v>
      </c>
      <c r="M187" s="100">
        <f t="shared" si="160"/>
        <v>6216</v>
      </c>
      <c r="N187" s="100">
        <f t="shared" si="160"/>
        <v>6543</v>
      </c>
      <c r="O187" s="100">
        <f t="shared" si="160"/>
        <v>7665</v>
      </c>
      <c r="P187" s="100">
        <f t="shared" si="160"/>
        <v>6400</v>
      </c>
      <c r="Q187" s="100">
        <f t="shared" si="160"/>
        <v>10400</v>
      </c>
      <c r="R187" s="100">
        <f t="shared" si="160"/>
        <v>10400</v>
      </c>
      <c r="S187" s="100">
        <f t="shared" si="160"/>
        <v>10400</v>
      </c>
      <c r="V187" s="100">
        <f t="shared" ref="V187:AD187" si="161">+V183</f>
        <v>13915</v>
      </c>
      <c r="W187" s="100">
        <f t="shared" si="161"/>
        <v>15102</v>
      </c>
      <c r="X187" s="100">
        <f t="shared" si="161"/>
        <v>15115</v>
      </c>
      <c r="Y187" s="100">
        <f t="shared" si="161"/>
        <v>18567</v>
      </c>
      <c r="Z187" s="100">
        <f t="shared" si="161"/>
        <v>31431</v>
      </c>
      <c r="AA187" s="100">
        <f t="shared" si="161"/>
        <v>27266</v>
      </c>
      <c r="AB187" s="100">
        <f t="shared" si="161"/>
        <v>37600</v>
      </c>
      <c r="AC187" s="100">
        <f t="shared" si="161"/>
        <v>43300</v>
      </c>
      <c r="AD187" s="100">
        <f t="shared" si="161"/>
        <v>49500</v>
      </c>
      <c r="AE187" s="100"/>
      <c r="AF187" s="100"/>
    </row>
    <row r="188" spans="2:32" ht="13.5" x14ac:dyDescent="0.35">
      <c r="B188" s="60" t="s">
        <v>538</v>
      </c>
      <c r="D188" s="102" t="e">
        <f t="shared" ref="D188:S188" si="162">+D189-D187</f>
        <v>#REF!</v>
      </c>
      <c r="E188" s="102" t="e">
        <f t="shared" si="162"/>
        <v>#REF!</v>
      </c>
      <c r="F188" s="102" t="e">
        <f t="shared" si="162"/>
        <v>#REF!</v>
      </c>
      <c r="G188" s="102" t="e">
        <f t="shared" si="162"/>
        <v>#REF!</v>
      </c>
      <c r="H188" s="102" t="e">
        <f t="shared" si="162"/>
        <v>#REF!</v>
      </c>
      <c r="I188" s="102" t="e">
        <f t="shared" si="162"/>
        <v>#REF!</v>
      </c>
      <c r="J188" s="102" t="e">
        <f t="shared" si="162"/>
        <v>#REF!</v>
      </c>
      <c r="K188" s="102" t="e">
        <f t="shared" si="162"/>
        <v>#REF!</v>
      </c>
      <c r="L188" s="102" t="e">
        <f t="shared" si="162"/>
        <v>#REF!</v>
      </c>
      <c r="M188" s="102" t="e">
        <f t="shared" si="162"/>
        <v>#REF!</v>
      </c>
      <c r="N188" s="102" t="e">
        <f t="shared" si="162"/>
        <v>#REF!</v>
      </c>
      <c r="O188" s="102" t="e">
        <f t="shared" si="162"/>
        <v>#REF!</v>
      </c>
      <c r="P188" s="102" t="e">
        <f t="shared" si="162"/>
        <v>#REF!</v>
      </c>
      <c r="Q188" s="102" t="e">
        <f t="shared" si="162"/>
        <v>#REF!</v>
      </c>
      <c r="R188" s="102" t="e">
        <f t="shared" si="162"/>
        <v>#REF!</v>
      </c>
      <c r="S188" s="102" t="e">
        <f t="shared" si="162"/>
        <v>#REF!</v>
      </c>
      <c r="V188" s="102" t="e">
        <f t="shared" ref="V188:AD188" si="163">+V189-V187</f>
        <v>#REF!</v>
      </c>
      <c r="W188" s="102" t="e">
        <f t="shared" si="163"/>
        <v>#REF!</v>
      </c>
      <c r="X188" s="102" t="e">
        <f t="shared" si="163"/>
        <v>#REF!</v>
      </c>
      <c r="Y188" s="102" t="e">
        <f t="shared" si="163"/>
        <v>#REF!</v>
      </c>
      <c r="Z188" s="102" t="e">
        <f t="shared" si="163"/>
        <v>#REF!</v>
      </c>
      <c r="AA188" s="102" t="e">
        <f t="shared" si="163"/>
        <v>#REF!</v>
      </c>
      <c r="AB188" s="102" t="e">
        <f t="shared" si="163"/>
        <v>#REF!</v>
      </c>
      <c r="AC188" s="102" t="e">
        <f t="shared" si="163"/>
        <v>#REF!</v>
      </c>
      <c r="AD188" s="102">
        <f t="shared" si="163"/>
        <v>-7311.8199999999779</v>
      </c>
      <c r="AE188" s="102"/>
      <c r="AF188" s="102"/>
    </row>
    <row r="189" spans="2:32" x14ac:dyDescent="0.2">
      <c r="B189" s="101" t="s">
        <v>375</v>
      </c>
      <c r="D189" s="100" t="e">
        <f>+D170-X170</f>
        <v>#REF!</v>
      </c>
      <c r="E189" s="100" t="e">
        <f t="shared" ref="E189:S189" si="164">+E170-D170</f>
        <v>#REF!</v>
      </c>
      <c r="F189" s="100" t="e">
        <f t="shared" si="164"/>
        <v>#REF!</v>
      </c>
      <c r="G189" s="100" t="e">
        <f t="shared" si="164"/>
        <v>#REF!</v>
      </c>
      <c r="H189" s="100" t="e">
        <f t="shared" si="164"/>
        <v>#REF!</v>
      </c>
      <c r="I189" s="100" t="e">
        <f t="shared" si="164"/>
        <v>#REF!</v>
      </c>
      <c r="J189" s="100" t="e">
        <f t="shared" si="164"/>
        <v>#REF!</v>
      </c>
      <c r="K189" s="100" t="e">
        <f t="shared" si="164"/>
        <v>#REF!</v>
      </c>
      <c r="L189" s="100" t="e">
        <f t="shared" si="164"/>
        <v>#REF!</v>
      </c>
      <c r="M189" s="100" t="e">
        <f t="shared" si="164"/>
        <v>#REF!</v>
      </c>
      <c r="N189" s="100" t="e">
        <f t="shared" si="164"/>
        <v>#REF!</v>
      </c>
      <c r="O189" s="100" t="e">
        <f t="shared" si="164"/>
        <v>#REF!</v>
      </c>
      <c r="P189" s="100" t="e">
        <f t="shared" si="164"/>
        <v>#REF!</v>
      </c>
      <c r="Q189" s="100" t="e">
        <f t="shared" si="164"/>
        <v>#REF!</v>
      </c>
      <c r="R189" s="100" t="e">
        <f t="shared" si="164"/>
        <v>#REF!</v>
      </c>
      <c r="S189" s="100" t="e">
        <f t="shared" si="164"/>
        <v>#REF!</v>
      </c>
      <c r="V189" s="100" t="e">
        <f t="shared" ref="V189:AD189" si="165">+V170-U170</f>
        <v>#REF!</v>
      </c>
      <c r="W189" s="100" t="e">
        <f t="shared" si="165"/>
        <v>#REF!</v>
      </c>
      <c r="X189" s="100" t="e">
        <f t="shared" si="165"/>
        <v>#REF!</v>
      </c>
      <c r="Y189" s="100" t="e">
        <f t="shared" si="165"/>
        <v>#REF!</v>
      </c>
      <c r="Z189" s="100" t="e">
        <f t="shared" si="165"/>
        <v>#REF!</v>
      </c>
      <c r="AA189" s="100" t="e">
        <f t="shared" si="165"/>
        <v>#REF!</v>
      </c>
      <c r="AB189" s="100" t="e">
        <f t="shared" si="165"/>
        <v>#REF!</v>
      </c>
      <c r="AC189" s="100" t="e">
        <f t="shared" si="165"/>
        <v>#REF!</v>
      </c>
      <c r="AD189" s="100">
        <f t="shared" si="165"/>
        <v>42188.180000000022</v>
      </c>
      <c r="AE189" s="100"/>
      <c r="AF189" s="100"/>
    </row>
    <row r="190" spans="2:32" x14ac:dyDescent="0.2">
      <c r="B190" s="67" t="s">
        <v>539</v>
      </c>
      <c r="D190" s="120" t="e">
        <f t="shared" ref="D190:S190" si="166">+D189/D187</f>
        <v>#REF!</v>
      </c>
      <c r="E190" s="120" t="e">
        <f t="shared" si="166"/>
        <v>#REF!</v>
      </c>
      <c r="F190" s="120" t="e">
        <f t="shared" si="166"/>
        <v>#REF!</v>
      </c>
      <c r="G190" s="120" t="e">
        <f t="shared" si="166"/>
        <v>#REF!</v>
      </c>
      <c r="H190" s="120" t="e">
        <f t="shared" si="166"/>
        <v>#REF!</v>
      </c>
      <c r="I190" s="120" t="e">
        <f t="shared" si="166"/>
        <v>#REF!</v>
      </c>
      <c r="J190" s="120" t="e">
        <f t="shared" si="166"/>
        <v>#REF!</v>
      </c>
      <c r="K190" s="120" t="e">
        <f t="shared" si="166"/>
        <v>#REF!</v>
      </c>
      <c r="L190" s="120" t="e">
        <f t="shared" si="166"/>
        <v>#REF!</v>
      </c>
      <c r="M190" s="120" t="e">
        <f t="shared" si="166"/>
        <v>#REF!</v>
      </c>
      <c r="N190" s="120" t="e">
        <f t="shared" si="166"/>
        <v>#REF!</v>
      </c>
      <c r="O190" s="120" t="e">
        <f t="shared" si="166"/>
        <v>#REF!</v>
      </c>
      <c r="P190" s="120" t="e">
        <f t="shared" si="166"/>
        <v>#REF!</v>
      </c>
      <c r="Q190" s="120" t="e">
        <f t="shared" si="166"/>
        <v>#REF!</v>
      </c>
      <c r="R190" s="120" t="e">
        <f t="shared" si="166"/>
        <v>#REF!</v>
      </c>
      <c r="S190" s="120" t="e">
        <f t="shared" si="166"/>
        <v>#REF!</v>
      </c>
      <c r="V190" s="120" t="e">
        <f t="shared" ref="V190:AD190" si="167">+V189/V187</f>
        <v>#REF!</v>
      </c>
      <c r="W190" s="120" t="e">
        <f t="shared" si="167"/>
        <v>#REF!</v>
      </c>
      <c r="X190" s="120" t="e">
        <f t="shared" si="167"/>
        <v>#REF!</v>
      </c>
      <c r="Y190" s="120" t="e">
        <f t="shared" si="167"/>
        <v>#REF!</v>
      </c>
      <c r="Z190" s="120" t="e">
        <f t="shared" si="167"/>
        <v>#REF!</v>
      </c>
      <c r="AA190" s="120" t="e">
        <f t="shared" si="167"/>
        <v>#REF!</v>
      </c>
      <c r="AB190" s="120" t="e">
        <f t="shared" si="167"/>
        <v>#REF!</v>
      </c>
      <c r="AC190" s="120" t="e">
        <f t="shared" si="167"/>
        <v>#REF!</v>
      </c>
      <c r="AD190" s="120">
        <f t="shared" si="167"/>
        <v>0.85228646464646507</v>
      </c>
      <c r="AE190" s="120"/>
      <c r="AF190" s="120"/>
    </row>
    <row r="191" spans="2:32" x14ac:dyDescent="0.2">
      <c r="B191" s="67"/>
      <c r="D191" s="120"/>
      <c r="E191" s="120"/>
      <c r="F191" s="120"/>
      <c r="G191" s="120"/>
      <c r="H191" s="120"/>
      <c r="I191" s="120"/>
      <c r="J191" s="120"/>
      <c r="K191" s="120"/>
      <c r="L191" s="120"/>
      <c r="M191" s="120"/>
      <c r="N191" s="120"/>
      <c r="O191" s="120"/>
      <c r="P191" s="120"/>
      <c r="Q191" s="120"/>
      <c r="R191" s="120"/>
      <c r="S191" s="120"/>
      <c r="V191" s="120"/>
      <c r="W191" s="120"/>
      <c r="X191" s="120"/>
      <c r="Y191" s="120"/>
      <c r="Z191" s="120"/>
      <c r="AA191" s="120"/>
      <c r="AB191" s="120"/>
      <c r="AC191" s="120"/>
      <c r="AD191" s="120"/>
      <c r="AE191" s="120"/>
      <c r="AF191" s="120"/>
    </row>
    <row r="192" spans="2:32" x14ac:dyDescent="0.2">
      <c r="B192" s="89" t="s">
        <v>17</v>
      </c>
      <c r="D192" s="120"/>
      <c r="E192" s="120"/>
      <c r="F192" s="120"/>
      <c r="G192" s="120"/>
      <c r="H192" s="120"/>
      <c r="I192" s="120"/>
      <c r="J192" s="120"/>
      <c r="K192" s="120"/>
      <c r="L192" s="120"/>
      <c r="M192" s="120"/>
      <c r="N192" s="120"/>
      <c r="O192" s="120"/>
      <c r="P192" s="120"/>
      <c r="Q192" s="120"/>
      <c r="R192" s="120"/>
      <c r="S192" s="120"/>
      <c r="V192" s="120"/>
      <c r="W192" s="120"/>
      <c r="X192" s="120"/>
      <c r="Y192" s="120"/>
      <c r="Z192" s="120"/>
      <c r="AA192" s="120"/>
      <c r="AB192" s="120"/>
      <c r="AC192" s="120"/>
      <c r="AD192" s="120"/>
      <c r="AE192" s="120"/>
      <c r="AF192" s="120"/>
    </row>
    <row r="193" spans="2:32" x14ac:dyDescent="0.2">
      <c r="B193" s="101" t="s">
        <v>376</v>
      </c>
      <c r="D193" s="120"/>
      <c r="E193" s="120"/>
      <c r="F193" s="120"/>
      <c r="G193" s="120"/>
      <c r="H193" s="120">
        <f t="shared" ref="H193:S193" si="168">+H187/D187-1</f>
        <v>0.27364232209737827</v>
      </c>
      <c r="I193" s="120">
        <f t="shared" si="168"/>
        <v>0.64180398959236773</v>
      </c>
      <c r="J193" s="120">
        <f t="shared" si="168"/>
        <v>1.1736610248087178</v>
      </c>
      <c r="K193" s="120">
        <f t="shared" si="168"/>
        <v>0.68398510242085653</v>
      </c>
      <c r="L193" s="120">
        <f t="shared" si="168"/>
        <v>0.25748943208968944</v>
      </c>
      <c r="M193" s="120">
        <f t="shared" si="168"/>
        <v>-0.17908082408874804</v>
      </c>
      <c r="N193" s="120">
        <f t="shared" si="168"/>
        <v>-0.30208000000000002</v>
      </c>
      <c r="O193" s="120">
        <f t="shared" si="168"/>
        <v>-0.15238305871945146</v>
      </c>
      <c r="P193" s="120">
        <f t="shared" si="168"/>
        <v>-6.4600993861444023E-2</v>
      </c>
      <c r="Q193" s="120">
        <f t="shared" si="168"/>
        <v>0.67310167310167301</v>
      </c>
      <c r="R193" s="120">
        <f t="shared" si="168"/>
        <v>0.58948494574354271</v>
      </c>
      <c r="S193" s="120">
        <f t="shared" si="168"/>
        <v>0.35681669928245263</v>
      </c>
      <c r="V193" s="120"/>
      <c r="W193" s="120">
        <f t="shared" ref="W193:AD193" si="169">+W187/V187-1</f>
        <v>8.5303629177146956E-2</v>
      </c>
      <c r="X193" s="120">
        <f t="shared" si="169"/>
        <v>8.6081313733288312E-4</v>
      </c>
      <c r="Y193" s="120">
        <f t="shared" si="169"/>
        <v>0.22838240158782663</v>
      </c>
      <c r="Z193" s="120">
        <f t="shared" si="169"/>
        <v>0.69284213927936666</v>
      </c>
      <c r="AA193" s="120">
        <f t="shared" si="169"/>
        <v>-0.13251248767140722</v>
      </c>
      <c r="AB193" s="120">
        <f t="shared" si="169"/>
        <v>0.37900682168268163</v>
      </c>
      <c r="AC193" s="120">
        <f t="shared" si="169"/>
        <v>0.15159574468085113</v>
      </c>
      <c r="AD193" s="120">
        <f t="shared" si="169"/>
        <v>0.14318706697459582</v>
      </c>
      <c r="AE193" s="120"/>
      <c r="AF193" s="120"/>
    </row>
    <row r="194" spans="2:32" x14ac:dyDescent="0.2">
      <c r="B194" s="101" t="s">
        <v>375</v>
      </c>
      <c r="D194" s="120"/>
      <c r="E194" s="120"/>
      <c r="F194" s="120"/>
      <c r="G194" s="120"/>
      <c r="H194" s="120" t="e">
        <f t="shared" ref="H194:S194" si="170">+H189/D189-1</f>
        <v>#REF!</v>
      </c>
      <c r="I194" s="120" t="e">
        <f t="shared" si="170"/>
        <v>#REF!</v>
      </c>
      <c r="J194" s="120" t="e">
        <f t="shared" si="170"/>
        <v>#REF!</v>
      </c>
      <c r="K194" s="120" t="e">
        <f t="shared" si="170"/>
        <v>#REF!</v>
      </c>
      <c r="L194" s="120" t="e">
        <f t="shared" si="170"/>
        <v>#REF!</v>
      </c>
      <c r="M194" s="120" t="e">
        <f t="shared" si="170"/>
        <v>#REF!</v>
      </c>
      <c r="N194" s="120" t="e">
        <f t="shared" si="170"/>
        <v>#REF!</v>
      </c>
      <c r="O194" s="120" t="e">
        <f t="shared" si="170"/>
        <v>#REF!</v>
      </c>
      <c r="P194" s="120" t="e">
        <f t="shared" si="170"/>
        <v>#REF!</v>
      </c>
      <c r="Q194" s="120" t="e">
        <f t="shared" si="170"/>
        <v>#REF!</v>
      </c>
      <c r="R194" s="120" t="e">
        <f t="shared" si="170"/>
        <v>#REF!</v>
      </c>
      <c r="S194" s="120" t="e">
        <f t="shared" si="170"/>
        <v>#REF!</v>
      </c>
      <c r="V194" s="120"/>
      <c r="W194" s="120" t="e">
        <f t="shared" ref="W194:AD194" si="171">+W189/V189-1</f>
        <v>#REF!</v>
      </c>
      <c r="X194" s="120" t="e">
        <f t="shared" si="171"/>
        <v>#REF!</v>
      </c>
      <c r="Y194" s="120" t="e">
        <f t="shared" si="171"/>
        <v>#REF!</v>
      </c>
      <c r="Z194" s="120" t="e">
        <f t="shared" si="171"/>
        <v>#REF!</v>
      </c>
      <c r="AA194" s="120" t="e">
        <f t="shared" si="171"/>
        <v>#REF!</v>
      </c>
      <c r="AB194" s="120" t="e">
        <f t="shared" si="171"/>
        <v>#REF!</v>
      </c>
      <c r="AC194" s="120" t="e">
        <f t="shared" si="171"/>
        <v>#REF!</v>
      </c>
      <c r="AD194" s="120" t="e">
        <f t="shared" si="171"/>
        <v>#REF!</v>
      </c>
      <c r="AE194" s="120"/>
      <c r="AF194" s="120"/>
    </row>
    <row r="195" spans="2:32" x14ac:dyDescent="0.2">
      <c r="B195" s="60"/>
    </row>
    <row r="196" spans="2:32" x14ac:dyDescent="0.2">
      <c r="B196" t="s">
        <v>500</v>
      </c>
      <c r="D196" s="84" t="str">
        <f t="shared" ref="D196:P196" si="172">+D132</f>
        <v>n/a</v>
      </c>
      <c r="E196" s="84" t="str">
        <f t="shared" si="172"/>
        <v>n/a</v>
      </c>
      <c r="F196" s="84" t="str">
        <f t="shared" si="172"/>
        <v>n/a</v>
      </c>
      <c r="G196" s="84" t="str">
        <f t="shared" si="172"/>
        <v>n/a</v>
      </c>
      <c r="H196" s="84">
        <f t="shared" si="172"/>
        <v>1360</v>
      </c>
      <c r="I196" s="84">
        <f t="shared" si="172"/>
        <v>1200</v>
      </c>
      <c r="J196" s="84">
        <f t="shared" si="172"/>
        <v>1360</v>
      </c>
      <c r="K196" s="84">
        <f t="shared" si="172"/>
        <v>1370</v>
      </c>
      <c r="L196" s="84">
        <f t="shared" si="172"/>
        <v>1510</v>
      </c>
      <c r="M196" s="84">
        <f t="shared" si="172"/>
        <v>1710</v>
      </c>
      <c r="N196" s="84">
        <f t="shared" si="172"/>
        <v>1940</v>
      </c>
      <c r="O196" s="84">
        <f t="shared" si="172"/>
        <v>2160</v>
      </c>
      <c r="P196" s="84">
        <f t="shared" si="172"/>
        <v>2350</v>
      </c>
      <c r="Q196" s="268">
        <f>+($AB196-$P196)/3</f>
        <v>3183.3333333333335</v>
      </c>
      <c r="R196" s="268">
        <f>+($AB196-$P196)/3</f>
        <v>3183.3333333333335</v>
      </c>
      <c r="S196" s="268">
        <f>+($AB196-$P196)/3</f>
        <v>3183.3333333333335</v>
      </c>
      <c r="T196" s="260"/>
      <c r="U196" s="260"/>
      <c r="V196" s="84" t="str">
        <f t="shared" ref="V196:AA199" si="173">+V132</f>
        <v>n/a</v>
      </c>
      <c r="W196" s="84">
        <f t="shared" si="173"/>
        <v>3690</v>
      </c>
      <c r="X196" s="84">
        <f t="shared" si="173"/>
        <v>4380</v>
      </c>
      <c r="Y196" s="84">
        <f t="shared" si="173"/>
        <v>4940</v>
      </c>
      <c r="Z196" s="84">
        <f t="shared" si="173"/>
        <v>5290</v>
      </c>
      <c r="AA196" s="84">
        <f t="shared" si="173"/>
        <v>7320</v>
      </c>
      <c r="AB196" s="268">
        <v>11900</v>
      </c>
      <c r="AC196" s="268">
        <v>17800</v>
      </c>
      <c r="AD196" s="268">
        <v>25400</v>
      </c>
      <c r="AE196" s="268"/>
      <c r="AF196" s="268"/>
    </row>
    <row r="197" spans="2:32" ht="13.5" x14ac:dyDescent="0.35">
      <c r="B197" t="s">
        <v>501</v>
      </c>
      <c r="D197" s="86" t="str">
        <f t="shared" ref="D197:P197" si="174">+D133</f>
        <v>n/a</v>
      </c>
      <c r="E197" s="86" t="str">
        <f t="shared" si="174"/>
        <v>n/a</v>
      </c>
      <c r="F197" s="86" t="str">
        <f t="shared" si="174"/>
        <v>n/a</v>
      </c>
      <c r="G197" s="86" t="str">
        <f t="shared" si="174"/>
        <v>n/a</v>
      </c>
      <c r="H197" s="86">
        <f t="shared" si="174"/>
        <v>760</v>
      </c>
      <c r="I197" s="86">
        <f t="shared" si="174"/>
        <v>730</v>
      </c>
      <c r="J197" s="86">
        <f t="shared" si="174"/>
        <v>770</v>
      </c>
      <c r="K197" s="86">
        <f t="shared" si="174"/>
        <v>950.00000000000045</v>
      </c>
      <c r="L197" s="86">
        <f t="shared" si="174"/>
        <v>970</v>
      </c>
      <c r="M197" s="86">
        <f t="shared" si="174"/>
        <v>870</v>
      </c>
      <c r="N197" s="86">
        <f t="shared" si="174"/>
        <v>890</v>
      </c>
      <c r="O197" s="86">
        <f t="shared" si="174"/>
        <v>969.99999999999909</v>
      </c>
      <c r="P197" s="86">
        <f t="shared" si="174"/>
        <v>980</v>
      </c>
      <c r="Q197" s="86">
        <f>+Q198-Q196</f>
        <v>1047.9999999999995</v>
      </c>
      <c r="R197" s="86">
        <f>+R198-R196</f>
        <v>1047.9999999999995</v>
      </c>
      <c r="S197" s="86">
        <f>+S198-S196</f>
        <v>1047.9999999999995</v>
      </c>
      <c r="T197" s="260"/>
      <c r="U197" s="260"/>
      <c r="V197" s="86" t="str">
        <f t="shared" si="173"/>
        <v>n/a</v>
      </c>
      <c r="W197" s="86">
        <f t="shared" si="173"/>
        <v>1490</v>
      </c>
      <c r="X197" s="86">
        <f t="shared" si="173"/>
        <v>2010</v>
      </c>
      <c r="Y197" s="86">
        <f t="shared" si="173"/>
        <v>2620</v>
      </c>
      <c r="Z197" s="86">
        <f t="shared" si="173"/>
        <v>3210</v>
      </c>
      <c r="AA197" s="86">
        <f t="shared" si="173"/>
        <v>3700</v>
      </c>
      <c r="AB197" s="65">
        <f>+AB198-AB196</f>
        <v>4124</v>
      </c>
      <c r="AC197" s="65">
        <f>+AC198-AC196</f>
        <v>4724</v>
      </c>
      <c r="AD197" s="65">
        <f>+AD198-AD196</f>
        <v>5224</v>
      </c>
      <c r="AE197" s="65"/>
      <c r="AF197" s="65"/>
    </row>
    <row r="198" spans="2:32" x14ac:dyDescent="0.2">
      <c r="B198" s="110" t="s">
        <v>499</v>
      </c>
      <c r="D198" s="212">
        <f t="shared" ref="D198:P198" si="175">+D134</f>
        <v>1850</v>
      </c>
      <c r="E198" s="212">
        <f t="shared" si="175"/>
        <v>1860</v>
      </c>
      <c r="F198" s="212">
        <f t="shared" si="175"/>
        <v>1870</v>
      </c>
      <c r="G198" s="212">
        <f t="shared" si="175"/>
        <v>1979.9999999999995</v>
      </c>
      <c r="H198" s="212">
        <f t="shared" si="175"/>
        <v>2120</v>
      </c>
      <c r="I198" s="212">
        <f t="shared" si="175"/>
        <v>1930</v>
      </c>
      <c r="J198" s="212">
        <f t="shared" si="175"/>
        <v>2130</v>
      </c>
      <c r="K198" s="212">
        <f t="shared" si="175"/>
        <v>2320.0000000000005</v>
      </c>
      <c r="L198" s="212">
        <f t="shared" si="175"/>
        <v>2480</v>
      </c>
      <c r="M198" s="212">
        <f t="shared" si="175"/>
        <v>2580</v>
      </c>
      <c r="N198" s="212">
        <f t="shared" si="175"/>
        <v>2830</v>
      </c>
      <c r="O198" s="212">
        <f t="shared" si="175"/>
        <v>3129.9999999999991</v>
      </c>
      <c r="P198" s="212">
        <f t="shared" si="175"/>
        <v>3330</v>
      </c>
      <c r="Q198" s="212">
        <f>+P198-P199+Q199</f>
        <v>4231.333333333333</v>
      </c>
      <c r="R198" s="212">
        <f>+Q198-Q199+R199</f>
        <v>4231.333333333333</v>
      </c>
      <c r="S198" s="212">
        <f>+R198-R199+S199</f>
        <v>4231.333333333333</v>
      </c>
      <c r="T198" s="260"/>
      <c r="U198" s="260"/>
      <c r="V198" s="212">
        <f t="shared" si="173"/>
        <v>3680</v>
      </c>
      <c r="W198" s="212">
        <f t="shared" si="173"/>
        <v>5180</v>
      </c>
      <c r="X198" s="212">
        <f t="shared" si="173"/>
        <v>6390</v>
      </c>
      <c r="Y198" s="212">
        <f t="shared" si="173"/>
        <v>7560</v>
      </c>
      <c r="Z198" s="212">
        <f t="shared" si="173"/>
        <v>8500</v>
      </c>
      <c r="AA198" s="212">
        <f t="shared" si="173"/>
        <v>11020</v>
      </c>
      <c r="AB198" s="111">
        <f>+SUM(P198:S198)</f>
        <v>16024</v>
      </c>
      <c r="AC198" s="265">
        <f>+AB198-AB199+AC199</f>
        <v>22524</v>
      </c>
      <c r="AD198" s="265">
        <f>+AC198-AC199+AD199</f>
        <v>30624</v>
      </c>
      <c r="AE198" s="265"/>
      <c r="AF198" s="265"/>
    </row>
    <row r="199" spans="2:32" x14ac:dyDescent="0.2">
      <c r="B199" s="60" t="s">
        <v>505</v>
      </c>
      <c r="D199" s="203">
        <f t="shared" ref="D199:P199" si="176">+D135</f>
        <v>1972</v>
      </c>
      <c r="E199" s="203">
        <f t="shared" si="176"/>
        <v>1985</v>
      </c>
      <c r="F199" s="203">
        <f t="shared" si="176"/>
        <v>1995</v>
      </c>
      <c r="G199" s="203">
        <f t="shared" si="176"/>
        <v>2014</v>
      </c>
      <c r="H199" s="203">
        <f t="shared" si="176"/>
        <v>2156</v>
      </c>
      <c r="I199" s="203">
        <f t="shared" si="176"/>
        <v>1979</v>
      </c>
      <c r="J199" s="203">
        <f t="shared" si="176"/>
        <v>2175</v>
      </c>
      <c r="K199" s="203">
        <f t="shared" si="176"/>
        <v>2376</v>
      </c>
      <c r="L199" s="203">
        <f t="shared" si="176"/>
        <v>2524</v>
      </c>
      <c r="M199" s="203">
        <f t="shared" si="176"/>
        <v>2623</v>
      </c>
      <c r="N199" s="203">
        <f t="shared" si="176"/>
        <v>2858</v>
      </c>
      <c r="O199" s="203">
        <f t="shared" si="176"/>
        <v>3172</v>
      </c>
      <c r="P199" s="203">
        <f t="shared" si="176"/>
        <v>3374</v>
      </c>
      <c r="Q199" s="266">
        <f>+($AB199-$P199)/3</f>
        <v>4275.333333333333</v>
      </c>
      <c r="R199" s="266">
        <f>+($AB199-$P199)/3</f>
        <v>4275.333333333333</v>
      </c>
      <c r="S199" s="266">
        <f>+($AB199-$P199)/3</f>
        <v>4275.333333333333</v>
      </c>
      <c r="T199" s="261"/>
      <c r="U199" s="261"/>
      <c r="V199" s="203">
        <f t="shared" si="173"/>
        <v>4315</v>
      </c>
      <c r="W199" s="203">
        <f t="shared" si="173"/>
        <v>5741</v>
      </c>
      <c r="X199" s="203">
        <f t="shared" si="173"/>
        <v>6862</v>
      </c>
      <c r="Y199" s="203">
        <f t="shared" si="173"/>
        <v>7966</v>
      </c>
      <c r="Z199" s="203">
        <f t="shared" si="173"/>
        <v>8686</v>
      </c>
      <c r="AA199" s="203">
        <f t="shared" si="173"/>
        <v>11177</v>
      </c>
      <c r="AB199" s="115">
        <f>4300+11900</f>
        <v>16200</v>
      </c>
      <c r="AC199" s="267">
        <f>17800+4900</f>
        <v>22700</v>
      </c>
      <c r="AD199" s="267">
        <f>25400+5400</f>
        <v>30800</v>
      </c>
      <c r="AE199" s="267"/>
      <c r="AF199" s="267"/>
    </row>
    <row r="201" spans="2:32" x14ac:dyDescent="0.2">
      <c r="B201" s="62" t="s">
        <v>502</v>
      </c>
    </row>
    <row r="202" spans="2:32" x14ac:dyDescent="0.2">
      <c r="B202" s="60" t="s">
        <v>405</v>
      </c>
      <c r="D202" s="256" t="str">
        <f t="shared" ref="D202:S202" si="177">+IFERROR(D159/(D196*4),"n/a")</f>
        <v>n/a</v>
      </c>
      <c r="E202" s="256" t="str">
        <f t="shared" si="177"/>
        <v>n/a</v>
      </c>
      <c r="F202" s="256" t="str">
        <f t="shared" si="177"/>
        <v>n/a</v>
      </c>
      <c r="G202" s="256" t="str">
        <f t="shared" si="177"/>
        <v>n/a</v>
      </c>
      <c r="H202" s="256">
        <f t="shared" si="177"/>
        <v>4.9805147058823529</v>
      </c>
      <c r="I202" s="256">
        <f t="shared" si="177"/>
        <v>6.0408333333333335</v>
      </c>
      <c r="J202" s="256">
        <f t="shared" si="177"/>
        <v>5.7790441176470591</v>
      </c>
      <c r="K202" s="256">
        <f t="shared" si="177"/>
        <v>6.2645985401459852</v>
      </c>
      <c r="L202" s="256">
        <f t="shared" si="177"/>
        <v>6.1725165562913906</v>
      </c>
      <c r="M202" s="256">
        <f t="shared" si="177"/>
        <v>5.9684210526315793</v>
      </c>
      <c r="N202" s="256">
        <f t="shared" si="177"/>
        <v>5.755412371134021</v>
      </c>
      <c r="O202" s="256">
        <f t="shared" si="177"/>
        <v>5.4210648148148151</v>
      </c>
      <c r="P202" s="256">
        <f t="shared" si="177"/>
        <v>5.51936170212766</v>
      </c>
      <c r="Q202" s="256">
        <f t="shared" si="177"/>
        <v>4.5566492146596858</v>
      </c>
      <c r="R202" s="256">
        <f t="shared" si="177"/>
        <v>5.0387958115183249</v>
      </c>
      <c r="S202" s="256">
        <f t="shared" si="177"/>
        <v>5.5209424083769632</v>
      </c>
      <c r="V202" s="256" t="str">
        <f t="shared" ref="V202:AD202" si="178">+IFERROR(V159/(V196),"n/a")</f>
        <v>n/a</v>
      </c>
      <c r="W202" s="256">
        <f t="shared" si="178"/>
        <v>4.6081300813008133</v>
      </c>
      <c r="X202" s="256">
        <f t="shared" si="178"/>
        <v>5.0235159817351596</v>
      </c>
      <c r="Y202" s="256">
        <f t="shared" si="178"/>
        <v>5.1789473684210527</v>
      </c>
      <c r="Z202" s="256">
        <f t="shared" si="178"/>
        <v>6.4896030245746692</v>
      </c>
      <c r="AA202" s="256">
        <f t="shared" si="178"/>
        <v>6.3986338797814204</v>
      </c>
      <c r="AB202" s="256">
        <f t="shared" si="178"/>
        <v>5.9075630252100844</v>
      </c>
      <c r="AC202" s="256">
        <f t="shared" si="178"/>
        <v>5.7078651685393256</v>
      </c>
      <c r="AD202" s="256">
        <f t="shared" si="178"/>
        <v>5.6692913385826769</v>
      </c>
      <c r="AE202" s="256"/>
      <c r="AF202" s="256"/>
    </row>
    <row r="203" spans="2:32" ht="13.5" x14ac:dyDescent="0.35">
      <c r="B203" s="60" t="s">
        <v>503</v>
      </c>
      <c r="D203" s="257" t="str">
        <f t="shared" ref="D203:S203" si="179">+IFERROR(D160/(D197*4),"n/a")</f>
        <v>n/a</v>
      </c>
      <c r="E203" s="257" t="str">
        <f t="shared" si="179"/>
        <v>n/a</v>
      </c>
      <c r="F203" s="257" t="str">
        <f t="shared" si="179"/>
        <v>n/a</v>
      </c>
      <c r="G203" s="257" t="str">
        <f t="shared" si="179"/>
        <v>n/a</v>
      </c>
      <c r="H203" s="257">
        <f t="shared" si="179"/>
        <v>18.401644736842105</v>
      </c>
      <c r="I203" s="257">
        <f t="shared" si="179"/>
        <v>20.899315068493152</v>
      </c>
      <c r="J203" s="257">
        <f t="shared" si="179"/>
        <v>21.328896103896103</v>
      </c>
      <c r="K203" s="257">
        <f t="shared" si="179"/>
        <v>18.463947368421042</v>
      </c>
      <c r="L203" s="257">
        <f t="shared" si="179"/>
        <v>19.034278350515464</v>
      </c>
      <c r="M203" s="257">
        <f t="shared" si="179"/>
        <v>21.861494252873563</v>
      </c>
      <c r="N203" s="257">
        <f t="shared" si="179"/>
        <v>21.898314606741572</v>
      </c>
      <c r="O203" s="257">
        <f t="shared" si="179"/>
        <v>21.361597938144349</v>
      </c>
      <c r="P203" s="257">
        <f t="shared" si="179"/>
        <v>21.157142857142858</v>
      </c>
      <c r="Q203" s="257">
        <f t="shared" si="179"/>
        <v>20.800731552162855</v>
      </c>
      <c r="R203" s="257">
        <f t="shared" si="179"/>
        <v>21.817111959287541</v>
      </c>
      <c r="S203" s="257">
        <f t="shared" si="179"/>
        <v>22.833492366412223</v>
      </c>
      <c r="V203" s="257" t="str">
        <f t="shared" ref="V203:AD203" si="180">+IFERROR(V160/(V197),"n/a")</f>
        <v>n/a</v>
      </c>
      <c r="W203" s="257">
        <f t="shared" si="180"/>
        <v>19.451006711409395</v>
      </c>
      <c r="X203" s="257">
        <f t="shared" si="180"/>
        <v>19.426865671641792</v>
      </c>
      <c r="Y203" s="257">
        <f t="shared" si="180"/>
        <v>19.963740458015266</v>
      </c>
      <c r="Z203" s="257">
        <f t="shared" si="180"/>
        <v>21.857632398753893</v>
      </c>
      <c r="AA203" s="257">
        <f t="shared" si="180"/>
        <v>22.40081081081081</v>
      </c>
      <c r="AB203" s="257">
        <f t="shared" si="180"/>
        <v>23.209990300678953</v>
      </c>
      <c r="AC203" s="257">
        <f t="shared" si="180"/>
        <v>22.802286198137171</v>
      </c>
      <c r="AD203" s="257">
        <f t="shared" si="180"/>
        <v>21.978943338437979</v>
      </c>
      <c r="AE203" s="257"/>
      <c r="AF203" s="257"/>
    </row>
    <row r="204" spans="2:32" x14ac:dyDescent="0.2">
      <c r="B204" s="101" t="s">
        <v>504</v>
      </c>
      <c r="D204" s="256">
        <f t="shared" ref="D204:S204" si="181">+IFERROR(D161/(D198*4),"n/a")</f>
        <v>8.6770270270270267</v>
      </c>
      <c r="E204" s="256">
        <f t="shared" si="181"/>
        <v>9.2263440860215056</v>
      </c>
      <c r="F204" s="256">
        <f t="shared" si="181"/>
        <v>9.6758021390374331</v>
      </c>
      <c r="G204" s="256">
        <f t="shared" si="181"/>
        <v>9.8344696969697001</v>
      </c>
      <c r="H204" s="256">
        <f t="shared" si="181"/>
        <v>9.7918632075471699</v>
      </c>
      <c r="I204" s="256">
        <f t="shared" si="181"/>
        <v>11.660880829015545</v>
      </c>
      <c r="J204" s="256">
        <f t="shared" si="181"/>
        <v>11.400352112676057</v>
      </c>
      <c r="K204" s="256">
        <f t="shared" si="181"/>
        <v>11.260021551724135</v>
      </c>
      <c r="L204" s="256">
        <f t="shared" si="181"/>
        <v>11.203125</v>
      </c>
      <c r="M204" s="256">
        <f t="shared" si="181"/>
        <v>11.327713178294573</v>
      </c>
      <c r="N204" s="256">
        <f t="shared" si="181"/>
        <v>10.832155477031803</v>
      </c>
      <c r="O204" s="256">
        <f t="shared" si="181"/>
        <v>10.361102236421729</v>
      </c>
      <c r="P204" s="256">
        <f t="shared" si="181"/>
        <v>10.121471471471471</v>
      </c>
      <c r="Q204" s="256">
        <f t="shared" si="181"/>
        <v>8.5799196470773609</v>
      </c>
      <c r="R204" s="256">
        <f t="shared" si="181"/>
        <v>9.1943831731526711</v>
      </c>
      <c r="S204" s="256">
        <f t="shared" si="181"/>
        <v>9.808846699227983</v>
      </c>
      <c r="V204" s="256">
        <f t="shared" ref="V204:AD204" si="182">+IFERROR(V161/(V198),"n/a")</f>
        <v>8.5796195652173921</v>
      </c>
      <c r="W204" s="256">
        <f t="shared" si="182"/>
        <v>8.877606177606177</v>
      </c>
      <c r="X204" s="256">
        <f t="shared" si="182"/>
        <v>9.5541471048513298</v>
      </c>
      <c r="Y204" s="256">
        <f t="shared" si="182"/>
        <v>10.302777777777777</v>
      </c>
      <c r="Z204" s="256">
        <f t="shared" si="182"/>
        <v>12.29329411764706</v>
      </c>
      <c r="AA204" s="256">
        <f t="shared" si="182"/>
        <v>11.771415607985482</v>
      </c>
      <c r="AB204" s="256">
        <f t="shared" si="182"/>
        <v>10.360584123814279</v>
      </c>
      <c r="AC204" s="256">
        <f t="shared" si="182"/>
        <v>9.2931095720120762</v>
      </c>
      <c r="AD204" s="256">
        <f t="shared" si="182"/>
        <v>8.4514759665621728</v>
      </c>
      <c r="AE204" s="256"/>
      <c r="AF204" s="256"/>
    </row>
    <row r="205" spans="2:32" x14ac:dyDescent="0.2">
      <c r="B205" s="101"/>
      <c r="D205" s="256"/>
      <c r="E205" s="256"/>
      <c r="F205" s="256"/>
      <c r="G205" s="256"/>
      <c r="H205" s="256"/>
      <c r="I205" s="256"/>
      <c r="J205" s="256"/>
      <c r="K205" s="256"/>
      <c r="L205" s="256"/>
      <c r="M205" s="256"/>
      <c r="N205" s="256"/>
      <c r="O205" s="256"/>
      <c r="P205" s="256"/>
      <c r="Q205" s="256"/>
      <c r="R205" s="256"/>
      <c r="S205" s="256"/>
      <c r="V205" s="256"/>
      <c r="W205" s="256"/>
      <c r="X205" s="256"/>
      <c r="Y205" s="256"/>
      <c r="Z205" s="256"/>
      <c r="AA205" s="256"/>
      <c r="AB205" s="256"/>
      <c r="AC205" s="256"/>
      <c r="AD205" s="256"/>
      <c r="AE205" s="256"/>
      <c r="AF205" s="256"/>
    </row>
    <row r="206" spans="2:32" x14ac:dyDescent="0.2">
      <c r="B206" s="62" t="s">
        <v>537</v>
      </c>
      <c r="D206" s="256"/>
      <c r="E206" s="256"/>
      <c r="F206" s="256"/>
      <c r="G206" s="256"/>
      <c r="H206" s="256"/>
      <c r="I206" s="256"/>
      <c r="J206" s="256"/>
      <c r="K206" s="256"/>
      <c r="L206" s="256"/>
      <c r="M206" s="256"/>
      <c r="N206" s="256"/>
      <c r="O206" s="256"/>
      <c r="P206" s="256"/>
      <c r="Q206" s="256"/>
      <c r="R206" s="256"/>
      <c r="S206" s="256"/>
      <c r="V206" s="256"/>
      <c r="W206" s="256"/>
      <c r="X206" s="256"/>
      <c r="Y206" s="256"/>
      <c r="Z206" s="256"/>
      <c r="AA206" s="256"/>
      <c r="AB206" s="256"/>
      <c r="AC206" s="256"/>
      <c r="AD206" s="256"/>
      <c r="AE206" s="256"/>
      <c r="AF206" s="256"/>
    </row>
    <row r="207" spans="2:32" x14ac:dyDescent="0.2">
      <c r="B207" s="60" t="s">
        <v>504</v>
      </c>
      <c r="D207" s="256" t="e">
        <f t="shared" ref="D207:S207" si="183">+D170/(D198*4)</f>
        <v>#REF!</v>
      </c>
      <c r="E207" s="256" t="e">
        <f t="shared" si="183"/>
        <v>#REF!</v>
      </c>
      <c r="F207" s="256" t="e">
        <f t="shared" si="183"/>
        <v>#REF!</v>
      </c>
      <c r="G207" s="256" t="e">
        <f t="shared" si="183"/>
        <v>#REF!</v>
      </c>
      <c r="H207" s="256" t="e">
        <f t="shared" si="183"/>
        <v>#REF!</v>
      </c>
      <c r="I207" s="256" t="e">
        <f t="shared" si="183"/>
        <v>#REF!</v>
      </c>
      <c r="J207" s="256" t="e">
        <f t="shared" si="183"/>
        <v>#REF!</v>
      </c>
      <c r="K207" s="256" t="e">
        <f t="shared" si="183"/>
        <v>#REF!</v>
      </c>
      <c r="L207" s="256" t="e">
        <f t="shared" si="183"/>
        <v>#REF!</v>
      </c>
      <c r="M207" s="256" t="e">
        <f t="shared" si="183"/>
        <v>#REF!</v>
      </c>
      <c r="N207" s="256" t="e">
        <f t="shared" si="183"/>
        <v>#REF!</v>
      </c>
      <c r="O207" s="256" t="e">
        <f t="shared" si="183"/>
        <v>#REF!</v>
      </c>
      <c r="P207" s="256" t="e">
        <f t="shared" si="183"/>
        <v>#REF!</v>
      </c>
      <c r="Q207" s="256" t="e">
        <f t="shared" si="183"/>
        <v>#REF!</v>
      </c>
      <c r="R207" s="256" t="e">
        <f t="shared" si="183"/>
        <v>#REF!</v>
      </c>
      <c r="S207" s="256" t="e">
        <f t="shared" si="183"/>
        <v>#REF!</v>
      </c>
      <c r="U207" s="256"/>
      <c r="V207" s="256" t="e">
        <f t="shared" ref="V207:AD207" si="184">+V170/(V198)</f>
        <v>#REF!</v>
      </c>
      <c r="W207" s="256" t="e">
        <f t="shared" si="184"/>
        <v>#REF!</v>
      </c>
      <c r="X207" s="256" t="e">
        <f t="shared" si="184"/>
        <v>#REF!</v>
      </c>
      <c r="Y207" s="256" t="e">
        <f t="shared" si="184"/>
        <v>#REF!</v>
      </c>
      <c r="Z207" s="256" t="e">
        <f t="shared" si="184"/>
        <v>#REF!</v>
      </c>
      <c r="AA207" s="256" t="e">
        <f t="shared" si="184"/>
        <v>#REF!</v>
      </c>
      <c r="AB207" s="256" t="e">
        <f t="shared" si="184"/>
        <v>#REF!</v>
      </c>
      <c r="AC207" s="256">
        <f t="shared" si="184"/>
        <v>7.4344876576096608</v>
      </c>
      <c r="AD207" s="256">
        <f t="shared" si="184"/>
        <v>6.8456955329153608</v>
      </c>
      <c r="AE207" s="256"/>
      <c r="AF207" s="256"/>
    </row>
    <row r="209" spans="1:32" x14ac:dyDescent="0.2">
      <c r="B209" s="54" t="s">
        <v>398</v>
      </c>
    </row>
    <row r="210" spans="1:32" x14ac:dyDescent="0.2">
      <c r="B210" t="s">
        <v>391</v>
      </c>
      <c r="D210" s="64">
        <f t="shared" ref="D210:S210" si="185">+D161</f>
        <v>64210</v>
      </c>
      <c r="E210" s="64">
        <f t="shared" si="185"/>
        <v>68644</v>
      </c>
      <c r="F210" s="64">
        <f t="shared" si="185"/>
        <v>72375</v>
      </c>
      <c r="G210" s="64">
        <f t="shared" si="185"/>
        <v>77889</v>
      </c>
      <c r="H210" s="64">
        <f t="shared" si="185"/>
        <v>83035</v>
      </c>
      <c r="I210" s="64">
        <f t="shared" si="185"/>
        <v>90022</v>
      </c>
      <c r="J210" s="64">
        <f t="shared" si="185"/>
        <v>97131</v>
      </c>
      <c r="K210" s="64">
        <f t="shared" si="185"/>
        <v>104493</v>
      </c>
      <c r="L210" s="64">
        <f t="shared" si="185"/>
        <v>111135</v>
      </c>
      <c r="M210" s="64">
        <f t="shared" si="185"/>
        <v>116902</v>
      </c>
      <c r="N210" s="64">
        <f t="shared" si="185"/>
        <v>122620</v>
      </c>
      <c r="O210" s="64">
        <f t="shared" si="185"/>
        <v>129721</v>
      </c>
      <c r="P210" s="64">
        <f t="shared" si="185"/>
        <v>134818</v>
      </c>
      <c r="Q210" s="64">
        <f t="shared" si="185"/>
        <v>145218</v>
      </c>
      <c r="R210" s="64">
        <f t="shared" si="185"/>
        <v>155618</v>
      </c>
      <c r="S210" s="64">
        <f t="shared" si="185"/>
        <v>166018</v>
      </c>
      <c r="V210" s="64">
        <f t="shared" ref="V210:AD210" si="186">+V161</f>
        <v>31573</v>
      </c>
      <c r="W210" s="64">
        <f t="shared" si="186"/>
        <v>45986</v>
      </c>
      <c r="X210" s="64">
        <f t="shared" si="186"/>
        <v>61051</v>
      </c>
      <c r="Y210" s="64">
        <f t="shared" si="186"/>
        <v>77889</v>
      </c>
      <c r="Z210" s="64">
        <f t="shared" si="186"/>
        <v>104493</v>
      </c>
      <c r="AA210" s="64">
        <f t="shared" si="186"/>
        <v>129721</v>
      </c>
      <c r="AB210" s="64">
        <f t="shared" si="186"/>
        <v>166018</v>
      </c>
      <c r="AC210" s="64">
        <f t="shared" si="186"/>
        <v>209318</v>
      </c>
      <c r="AD210" s="64">
        <f t="shared" si="186"/>
        <v>258818</v>
      </c>
      <c r="AE210" s="64"/>
      <c r="AF210" s="64"/>
    </row>
    <row r="211" spans="1:32" ht="13.5" x14ac:dyDescent="0.35">
      <c r="B211" t="s">
        <v>394</v>
      </c>
      <c r="D211" s="72">
        <f t="shared" ref="D211:P211" si="187">+D58</f>
        <v>-16490</v>
      </c>
      <c r="E211" s="72">
        <f t="shared" si="187"/>
        <v>-17735</v>
      </c>
      <c r="F211" s="72">
        <f t="shared" si="187"/>
        <v>-18649</v>
      </c>
      <c r="G211" s="72">
        <f t="shared" si="187"/>
        <v>-20080</v>
      </c>
      <c r="H211" s="72">
        <f t="shared" si="187"/>
        <v>-21453</v>
      </c>
      <c r="I211" s="72">
        <f t="shared" si="187"/>
        <v>-22434</v>
      </c>
      <c r="J211" s="72">
        <f t="shared" si="187"/>
        <v>-23393</v>
      </c>
      <c r="K211" s="72">
        <f t="shared" si="187"/>
        <v>-24975</v>
      </c>
      <c r="L211" s="72">
        <f t="shared" si="187"/>
        <v>-26979</v>
      </c>
      <c r="M211" s="72">
        <f t="shared" si="187"/>
        <v>-28953</v>
      </c>
      <c r="N211" s="72">
        <f t="shared" si="187"/>
        <v>-30848</v>
      </c>
      <c r="O211" s="72">
        <f t="shared" si="187"/>
        <v>-33134</v>
      </c>
      <c r="P211" s="72">
        <f t="shared" si="187"/>
        <v>-35910</v>
      </c>
      <c r="Q211" s="65">
        <f>-Q219</f>
        <v>-39641.333333333336</v>
      </c>
      <c r="R211" s="65">
        <f>-R219</f>
        <v>-43372.666666666672</v>
      </c>
      <c r="S211" s="65">
        <f>-S219</f>
        <v>-47104.000000000007</v>
      </c>
      <c r="U211" s="72">
        <f t="shared" ref="U211:AA211" si="188">+U58</f>
        <v>-4616</v>
      </c>
      <c r="V211" s="72">
        <f t="shared" si="188"/>
        <v>-6890</v>
      </c>
      <c r="W211" s="72">
        <f t="shared" si="188"/>
        <v>-10663</v>
      </c>
      <c r="X211" s="72">
        <f t="shared" si="188"/>
        <v>-15418</v>
      </c>
      <c r="Y211" s="72">
        <f t="shared" si="188"/>
        <v>-20080</v>
      </c>
      <c r="Z211" s="72">
        <f t="shared" si="188"/>
        <v>-24975</v>
      </c>
      <c r="AA211" s="72">
        <f t="shared" si="188"/>
        <v>-33134</v>
      </c>
      <c r="AB211" s="65">
        <f>+S211</f>
        <v>-47104.000000000007</v>
      </c>
      <c r="AC211" s="65">
        <f>-AC219</f>
        <v>-67628</v>
      </c>
      <c r="AD211" s="65">
        <f>-AD219</f>
        <v>-96252</v>
      </c>
      <c r="AE211" s="65"/>
      <c r="AF211" s="65"/>
    </row>
    <row r="212" spans="1:32" s="44" customFormat="1" x14ac:dyDescent="0.2">
      <c r="A212" s="254"/>
      <c r="B212" s="110" t="s">
        <v>398</v>
      </c>
      <c r="D212" s="111">
        <f t="shared" ref="D212:S212" si="189">SUM(D210:D211)</f>
        <v>47720</v>
      </c>
      <c r="E212" s="111">
        <f t="shared" si="189"/>
        <v>50909</v>
      </c>
      <c r="F212" s="111">
        <f t="shared" si="189"/>
        <v>53726</v>
      </c>
      <c r="G212" s="111">
        <f t="shared" si="189"/>
        <v>57809</v>
      </c>
      <c r="H212" s="111">
        <f t="shared" si="189"/>
        <v>61582</v>
      </c>
      <c r="I212" s="111">
        <f t="shared" si="189"/>
        <v>67588</v>
      </c>
      <c r="J212" s="111">
        <f t="shared" si="189"/>
        <v>73738</v>
      </c>
      <c r="K212" s="111">
        <f t="shared" si="189"/>
        <v>79518</v>
      </c>
      <c r="L212" s="111">
        <f t="shared" si="189"/>
        <v>84156</v>
      </c>
      <c r="M212" s="111">
        <f t="shared" si="189"/>
        <v>87949</v>
      </c>
      <c r="N212" s="111">
        <f t="shared" si="189"/>
        <v>91772</v>
      </c>
      <c r="O212" s="111">
        <f t="shared" si="189"/>
        <v>96587</v>
      </c>
      <c r="P212" s="111">
        <f t="shared" si="189"/>
        <v>98908</v>
      </c>
      <c r="Q212" s="111">
        <f t="shared" si="189"/>
        <v>105576.66666666666</v>
      </c>
      <c r="R212" s="111">
        <f t="shared" si="189"/>
        <v>112245.33333333333</v>
      </c>
      <c r="S212" s="111">
        <f t="shared" si="189"/>
        <v>118914</v>
      </c>
      <c r="V212" s="111">
        <f t="shared" ref="V212:AD212" si="190">SUM(V210:V211)</f>
        <v>24683</v>
      </c>
      <c r="W212" s="111">
        <f t="shared" si="190"/>
        <v>35323</v>
      </c>
      <c r="X212" s="111">
        <f t="shared" si="190"/>
        <v>45633</v>
      </c>
      <c r="Y212" s="111">
        <f t="shared" si="190"/>
        <v>57809</v>
      </c>
      <c r="Z212" s="111">
        <f t="shared" si="190"/>
        <v>79518</v>
      </c>
      <c r="AA212" s="111">
        <f t="shared" si="190"/>
        <v>96587</v>
      </c>
      <c r="AB212" s="111">
        <f t="shared" si="190"/>
        <v>118914</v>
      </c>
      <c r="AC212" s="111">
        <f t="shared" si="190"/>
        <v>141690</v>
      </c>
      <c r="AD212" s="111">
        <f t="shared" si="190"/>
        <v>162566</v>
      </c>
      <c r="AE212" s="111"/>
      <c r="AF212" s="111"/>
    </row>
    <row r="213" spans="1:32" x14ac:dyDescent="0.2">
      <c r="B213" s="60" t="s">
        <v>513</v>
      </c>
      <c r="D213" s="256">
        <f t="shared" ref="D213:S213" si="191">+IFERROR(D212/(D198*4),"n/a")</f>
        <v>6.448648648648649</v>
      </c>
      <c r="E213" s="256">
        <f t="shared" si="191"/>
        <v>6.8426075268817206</v>
      </c>
      <c r="F213" s="256">
        <f t="shared" si="191"/>
        <v>7.182620320855615</v>
      </c>
      <c r="G213" s="256">
        <f t="shared" si="191"/>
        <v>7.2991161616161637</v>
      </c>
      <c r="H213" s="256">
        <f t="shared" si="191"/>
        <v>7.2620283018867928</v>
      </c>
      <c r="I213" s="256">
        <f t="shared" si="191"/>
        <v>8.754922279792746</v>
      </c>
      <c r="J213" s="256">
        <f t="shared" si="191"/>
        <v>8.6546948356807505</v>
      </c>
      <c r="K213" s="256">
        <f t="shared" si="191"/>
        <v>8.5687499999999979</v>
      </c>
      <c r="L213" s="256">
        <f t="shared" si="191"/>
        <v>8.4834677419354847</v>
      </c>
      <c r="M213" s="256">
        <f t="shared" si="191"/>
        <v>8.5221899224806208</v>
      </c>
      <c r="N213" s="256">
        <f t="shared" si="191"/>
        <v>8.107067137809187</v>
      </c>
      <c r="O213" s="256">
        <f t="shared" si="191"/>
        <v>7.7146166134185323</v>
      </c>
      <c r="P213" s="256">
        <f t="shared" si="191"/>
        <v>7.4255255255255257</v>
      </c>
      <c r="Q213" s="256">
        <f t="shared" si="191"/>
        <v>6.2377895068536313</v>
      </c>
      <c r="R213" s="256">
        <f t="shared" si="191"/>
        <v>6.6317945486056402</v>
      </c>
      <c r="S213" s="256">
        <f t="shared" si="191"/>
        <v>7.02579959035765</v>
      </c>
      <c r="V213" s="256">
        <f t="shared" ref="V213:AD213" si="192">+IFERROR(V212/(V198),"n/a")</f>
        <v>6.7073369565217389</v>
      </c>
      <c r="W213" s="256">
        <f t="shared" si="192"/>
        <v>6.8191119691119688</v>
      </c>
      <c r="X213" s="256">
        <f t="shared" si="192"/>
        <v>7.1413145539906102</v>
      </c>
      <c r="Y213" s="256">
        <f t="shared" si="192"/>
        <v>7.6466931216931213</v>
      </c>
      <c r="Z213" s="256">
        <f t="shared" si="192"/>
        <v>9.3550588235294114</v>
      </c>
      <c r="AA213" s="256">
        <f t="shared" si="192"/>
        <v>8.7647005444646098</v>
      </c>
      <c r="AB213" s="256">
        <f t="shared" si="192"/>
        <v>7.4209935097353972</v>
      </c>
      <c r="AC213" s="256">
        <f t="shared" si="192"/>
        <v>6.2906233351092169</v>
      </c>
      <c r="AD213" s="256">
        <f t="shared" si="192"/>
        <v>5.3084508881922678</v>
      </c>
      <c r="AE213" s="256"/>
      <c r="AF213" s="256"/>
    </row>
    <row r="214" spans="1:32" x14ac:dyDescent="0.2">
      <c r="B214" s="60"/>
      <c r="V214" s="64"/>
      <c r="W214" s="64"/>
      <c r="X214" s="64"/>
      <c r="Y214" s="64"/>
      <c r="Z214" s="64"/>
      <c r="AA214" s="64"/>
    </row>
    <row r="215" spans="1:32" x14ac:dyDescent="0.2">
      <c r="B215" s="62" t="s">
        <v>19</v>
      </c>
      <c r="V215" s="64"/>
      <c r="W215" s="64"/>
      <c r="X215" s="64"/>
      <c r="Y215" s="64"/>
      <c r="Z215" s="64"/>
      <c r="AA215" s="64"/>
    </row>
    <row r="216" spans="1:32" x14ac:dyDescent="0.2">
      <c r="B216" s="60" t="s">
        <v>395</v>
      </c>
      <c r="D216" s="95">
        <f>-X211</f>
        <v>15418</v>
      </c>
      <c r="E216" s="95">
        <f t="shared" ref="E216:S216" si="193">+D219</f>
        <v>16490</v>
      </c>
      <c r="F216" s="95">
        <f t="shared" si="193"/>
        <v>17735</v>
      </c>
      <c r="G216" s="95">
        <f t="shared" si="193"/>
        <v>18649</v>
      </c>
      <c r="H216" s="95">
        <f t="shared" si="193"/>
        <v>20080</v>
      </c>
      <c r="I216" s="95">
        <f t="shared" si="193"/>
        <v>21453</v>
      </c>
      <c r="J216" s="95">
        <f t="shared" si="193"/>
        <v>22434</v>
      </c>
      <c r="K216" s="95">
        <f t="shared" si="193"/>
        <v>23393</v>
      </c>
      <c r="L216" s="95">
        <f t="shared" si="193"/>
        <v>24975</v>
      </c>
      <c r="M216" s="95">
        <f t="shared" si="193"/>
        <v>26979</v>
      </c>
      <c r="N216" s="95">
        <f t="shared" si="193"/>
        <v>28953</v>
      </c>
      <c r="O216" s="95">
        <f t="shared" si="193"/>
        <v>30848</v>
      </c>
      <c r="P216" s="95">
        <f t="shared" si="193"/>
        <v>33134</v>
      </c>
      <c r="Q216" s="95">
        <f t="shared" si="193"/>
        <v>35910</v>
      </c>
      <c r="R216" s="95">
        <f t="shared" si="193"/>
        <v>39641.333333333336</v>
      </c>
      <c r="S216" s="95">
        <f t="shared" si="193"/>
        <v>43372.666666666672</v>
      </c>
      <c r="V216" s="95">
        <f>-U211</f>
        <v>4616</v>
      </c>
      <c r="W216" s="95">
        <f t="shared" ref="W216:AD216" si="194">+V219</f>
        <v>6890</v>
      </c>
      <c r="X216" s="95">
        <f t="shared" si="194"/>
        <v>10663</v>
      </c>
      <c r="Y216" s="95">
        <f t="shared" si="194"/>
        <v>15418</v>
      </c>
      <c r="Z216" s="95">
        <f t="shared" si="194"/>
        <v>20080</v>
      </c>
      <c r="AA216" s="95">
        <f t="shared" si="194"/>
        <v>24975</v>
      </c>
      <c r="AB216" s="95">
        <f t="shared" si="194"/>
        <v>33134</v>
      </c>
      <c r="AC216" s="95">
        <f t="shared" si="194"/>
        <v>47104.000000000007</v>
      </c>
      <c r="AD216" s="95">
        <f t="shared" si="194"/>
        <v>67628</v>
      </c>
      <c r="AE216" s="95"/>
      <c r="AF216" s="95"/>
    </row>
    <row r="217" spans="1:32" x14ac:dyDescent="0.2">
      <c r="B217" s="60" t="s">
        <v>380</v>
      </c>
      <c r="D217" s="95">
        <f t="shared" ref="D217:S217" si="195">+D198</f>
        <v>1850</v>
      </c>
      <c r="E217" s="95">
        <f t="shared" si="195"/>
        <v>1860</v>
      </c>
      <c r="F217" s="95">
        <f t="shared" si="195"/>
        <v>1870</v>
      </c>
      <c r="G217" s="95">
        <f t="shared" si="195"/>
        <v>1979.9999999999995</v>
      </c>
      <c r="H217" s="95">
        <f t="shared" si="195"/>
        <v>2120</v>
      </c>
      <c r="I217" s="95">
        <f t="shared" si="195"/>
        <v>1930</v>
      </c>
      <c r="J217" s="95">
        <f t="shared" si="195"/>
        <v>2130</v>
      </c>
      <c r="K217" s="95">
        <f t="shared" si="195"/>
        <v>2320.0000000000005</v>
      </c>
      <c r="L217" s="95">
        <f t="shared" si="195"/>
        <v>2480</v>
      </c>
      <c r="M217" s="95">
        <f t="shared" si="195"/>
        <v>2580</v>
      </c>
      <c r="N217" s="95">
        <f t="shared" si="195"/>
        <v>2830</v>
      </c>
      <c r="O217" s="95">
        <f t="shared" si="195"/>
        <v>3129.9999999999991</v>
      </c>
      <c r="P217" s="95">
        <f t="shared" si="195"/>
        <v>3330</v>
      </c>
      <c r="Q217" s="95">
        <f t="shared" si="195"/>
        <v>4231.333333333333</v>
      </c>
      <c r="R217" s="95">
        <f t="shared" si="195"/>
        <v>4231.333333333333</v>
      </c>
      <c r="S217" s="95">
        <f t="shared" si="195"/>
        <v>4231.333333333333</v>
      </c>
      <c r="V217" s="95">
        <f t="shared" ref="V217:AD217" si="196">+V198</f>
        <v>3680</v>
      </c>
      <c r="W217" s="95">
        <f t="shared" si="196"/>
        <v>5180</v>
      </c>
      <c r="X217" s="95">
        <f t="shared" si="196"/>
        <v>6390</v>
      </c>
      <c r="Y217" s="95">
        <f t="shared" si="196"/>
        <v>7560</v>
      </c>
      <c r="Z217" s="95">
        <f t="shared" si="196"/>
        <v>8500</v>
      </c>
      <c r="AA217" s="95">
        <f t="shared" si="196"/>
        <v>11020</v>
      </c>
      <c r="AB217" s="95">
        <f t="shared" si="196"/>
        <v>16024</v>
      </c>
      <c r="AC217" s="95">
        <f t="shared" si="196"/>
        <v>22524</v>
      </c>
      <c r="AD217" s="95">
        <f t="shared" si="196"/>
        <v>30624</v>
      </c>
      <c r="AE217" s="95"/>
      <c r="AF217" s="95"/>
    </row>
    <row r="218" spans="1:32" ht="13.5" x14ac:dyDescent="0.35">
      <c r="B218" s="60" t="s">
        <v>33</v>
      </c>
      <c r="D218" s="77">
        <f t="shared" ref="D218:P218" si="197">+D219-SUM(D216:D217)</f>
        <v>-778</v>
      </c>
      <c r="E218" s="77">
        <f t="shared" si="197"/>
        <v>-615</v>
      </c>
      <c r="F218" s="77">
        <f t="shared" si="197"/>
        <v>-956</v>
      </c>
      <c r="G218" s="77">
        <f t="shared" si="197"/>
        <v>-549</v>
      </c>
      <c r="H218" s="77">
        <f t="shared" si="197"/>
        <v>-747</v>
      </c>
      <c r="I218" s="77">
        <f t="shared" si="197"/>
        <v>-949</v>
      </c>
      <c r="J218" s="77">
        <f t="shared" si="197"/>
        <v>-1171</v>
      </c>
      <c r="K218" s="77">
        <f t="shared" si="197"/>
        <v>-738</v>
      </c>
      <c r="L218" s="77">
        <f t="shared" si="197"/>
        <v>-476</v>
      </c>
      <c r="M218" s="77">
        <f t="shared" si="197"/>
        <v>-606</v>
      </c>
      <c r="N218" s="77">
        <f t="shared" si="197"/>
        <v>-935</v>
      </c>
      <c r="O218" s="77">
        <f t="shared" si="197"/>
        <v>-844</v>
      </c>
      <c r="P218" s="77">
        <f t="shared" si="197"/>
        <v>-554</v>
      </c>
      <c r="Q218" s="103">
        <v>-500</v>
      </c>
      <c r="R218" s="103">
        <v>-500</v>
      </c>
      <c r="S218" s="103">
        <v>-500</v>
      </c>
      <c r="V218" s="77">
        <f t="shared" ref="V218:AB218" si="198">+V219-SUM(V216:V217)</f>
        <v>-1406</v>
      </c>
      <c r="W218" s="77">
        <f t="shared" si="198"/>
        <v>-1407</v>
      </c>
      <c r="X218" s="77">
        <f t="shared" si="198"/>
        <v>-1635</v>
      </c>
      <c r="Y218" s="77">
        <f t="shared" si="198"/>
        <v>-2898</v>
      </c>
      <c r="Z218" s="77">
        <f t="shared" si="198"/>
        <v>-3605</v>
      </c>
      <c r="AA218" s="77">
        <f t="shared" si="198"/>
        <v>-2861</v>
      </c>
      <c r="AB218" s="77">
        <f t="shared" si="198"/>
        <v>-2053.9999999999927</v>
      </c>
      <c r="AC218" s="103">
        <v>-2000</v>
      </c>
      <c r="AD218" s="103">
        <v>-2000</v>
      </c>
      <c r="AE218" s="103"/>
      <c r="AF218" s="103"/>
    </row>
    <row r="219" spans="1:32" x14ac:dyDescent="0.2">
      <c r="B219" s="101" t="s">
        <v>388</v>
      </c>
      <c r="D219" s="95">
        <f t="shared" ref="D219:P219" si="199">-D211</f>
        <v>16490</v>
      </c>
      <c r="E219" s="95">
        <f t="shared" si="199"/>
        <v>17735</v>
      </c>
      <c r="F219" s="95">
        <f t="shared" si="199"/>
        <v>18649</v>
      </c>
      <c r="G219" s="95">
        <f t="shared" si="199"/>
        <v>20080</v>
      </c>
      <c r="H219" s="95">
        <f t="shared" si="199"/>
        <v>21453</v>
      </c>
      <c r="I219" s="95">
        <f t="shared" si="199"/>
        <v>22434</v>
      </c>
      <c r="J219" s="95">
        <f t="shared" si="199"/>
        <v>23393</v>
      </c>
      <c r="K219" s="95">
        <f t="shared" si="199"/>
        <v>24975</v>
      </c>
      <c r="L219" s="95">
        <f t="shared" si="199"/>
        <v>26979</v>
      </c>
      <c r="M219" s="95">
        <f t="shared" si="199"/>
        <v>28953</v>
      </c>
      <c r="N219" s="95">
        <f t="shared" si="199"/>
        <v>30848</v>
      </c>
      <c r="O219" s="95">
        <f t="shared" si="199"/>
        <v>33134</v>
      </c>
      <c r="P219" s="95">
        <f t="shared" si="199"/>
        <v>35910</v>
      </c>
      <c r="Q219" s="95">
        <f>SUM(Q216:Q218)</f>
        <v>39641.333333333336</v>
      </c>
      <c r="R219" s="95">
        <f>SUM(R216:R218)</f>
        <v>43372.666666666672</v>
      </c>
      <c r="S219" s="95">
        <f>SUM(S216:S218)</f>
        <v>47104.000000000007</v>
      </c>
      <c r="V219" s="95">
        <f t="shared" ref="V219:AB219" si="200">-V211</f>
        <v>6890</v>
      </c>
      <c r="W219" s="95">
        <f t="shared" si="200"/>
        <v>10663</v>
      </c>
      <c r="X219" s="95">
        <f t="shared" si="200"/>
        <v>15418</v>
      </c>
      <c r="Y219" s="95">
        <f t="shared" si="200"/>
        <v>20080</v>
      </c>
      <c r="Z219" s="95">
        <f t="shared" si="200"/>
        <v>24975</v>
      </c>
      <c r="AA219" s="95">
        <f t="shared" si="200"/>
        <v>33134</v>
      </c>
      <c r="AB219" s="95">
        <f t="shared" si="200"/>
        <v>47104.000000000007</v>
      </c>
      <c r="AC219" s="95">
        <f>SUM(AC216:AC218)</f>
        <v>67628</v>
      </c>
      <c r="AD219" s="95">
        <f>SUM(AD216:AD218)</f>
        <v>96252</v>
      </c>
      <c r="AE219" s="95"/>
      <c r="AF219" s="95"/>
    </row>
    <row r="224" spans="1:32" x14ac:dyDescent="0.2">
      <c r="B224" s="52" t="s">
        <v>390</v>
      </c>
      <c r="C224" s="53"/>
      <c r="N224">
        <v>1000</v>
      </c>
      <c r="O224">
        <f>+N224-N225</f>
        <v>900</v>
      </c>
    </row>
    <row r="225" spans="2:27" x14ac:dyDescent="0.2">
      <c r="N225">
        <v>100</v>
      </c>
      <c r="O225">
        <f>+O224/N225</f>
        <v>9</v>
      </c>
    </row>
    <row r="226" spans="2:27" x14ac:dyDescent="0.2">
      <c r="B226" s="54" t="s">
        <v>391</v>
      </c>
      <c r="O226" s="64">
        <f>+O232-K232</f>
        <v>832</v>
      </c>
      <c r="P226" s="64">
        <f>+P232-L232</f>
        <v>750</v>
      </c>
    </row>
    <row r="227" spans="2:27" x14ac:dyDescent="0.2">
      <c r="B227" t="s">
        <v>401</v>
      </c>
      <c r="D227" s="81">
        <v>1360</v>
      </c>
      <c r="E227" s="81">
        <v>1428</v>
      </c>
      <c r="F227" s="81">
        <v>1551</v>
      </c>
      <c r="G227" s="81">
        <v>1688</v>
      </c>
      <c r="H227" s="81">
        <v>1713</v>
      </c>
      <c r="I227" s="81">
        <v>1703</v>
      </c>
      <c r="J227" s="81">
        <v>1762</v>
      </c>
      <c r="K227" s="81">
        <v>1874</v>
      </c>
      <c r="L227" s="81">
        <v>1874</v>
      </c>
      <c r="M227" s="81">
        <v>1875</v>
      </c>
      <c r="N227" s="81">
        <v>1900</v>
      </c>
      <c r="O227" s="81">
        <v>2080</v>
      </c>
      <c r="P227" s="81">
        <v>2075</v>
      </c>
      <c r="U227" s="81">
        <v>798</v>
      </c>
      <c r="V227" s="81">
        <v>899</v>
      </c>
      <c r="W227" s="81">
        <v>1097</v>
      </c>
      <c r="X227" s="81">
        <v>1326</v>
      </c>
      <c r="Y227" s="81">
        <v>1688</v>
      </c>
      <c r="Z227" s="81">
        <v>1874</v>
      </c>
      <c r="AA227" s="81">
        <v>2080</v>
      </c>
    </row>
    <row r="228" spans="2:27" x14ac:dyDescent="0.2">
      <c r="B228" t="s">
        <v>405</v>
      </c>
      <c r="D228" s="81">
        <v>22580</v>
      </c>
      <c r="E228" s="81">
        <v>24085</v>
      </c>
      <c r="F228" s="81">
        <v>25050</v>
      </c>
      <c r="G228" s="81">
        <v>25584</v>
      </c>
      <c r="H228" s="81">
        <v>27094</v>
      </c>
      <c r="I228" s="81">
        <v>28996</v>
      </c>
      <c r="J228" s="81">
        <v>31438</v>
      </c>
      <c r="K228" s="81">
        <v>34330</v>
      </c>
      <c r="L228" s="81">
        <v>37282</v>
      </c>
      <c r="M228" s="81">
        <v>40824</v>
      </c>
      <c r="N228" s="81">
        <v>44662</v>
      </c>
      <c r="O228" s="81">
        <v>46838</v>
      </c>
      <c r="P228" s="81">
        <v>51882</v>
      </c>
      <c r="U228" s="81">
        <v>7998</v>
      </c>
      <c r="V228" s="81">
        <v>13017</v>
      </c>
      <c r="W228" s="81">
        <v>17004</v>
      </c>
      <c r="X228" s="81">
        <v>22003</v>
      </c>
      <c r="Y228" s="81">
        <v>25584</v>
      </c>
      <c r="Z228" s="81">
        <v>34330</v>
      </c>
      <c r="AA228" s="81">
        <v>46838</v>
      </c>
    </row>
    <row r="229" spans="2:27" x14ac:dyDescent="0.2">
      <c r="B229" t="s">
        <v>402</v>
      </c>
      <c r="D229" s="81">
        <v>18075</v>
      </c>
      <c r="E229" s="81">
        <v>19873</v>
      </c>
      <c r="F229" s="81">
        <v>21369</v>
      </c>
      <c r="G229" s="81">
        <v>22531</v>
      </c>
      <c r="H229" s="81">
        <v>23154</v>
      </c>
      <c r="I229" s="81">
        <v>23946</v>
      </c>
      <c r="J229" s="81">
        <v>25313</v>
      </c>
      <c r="K229" s="81">
        <v>27720</v>
      </c>
      <c r="L229" s="81">
        <v>30882</v>
      </c>
      <c r="M229" s="81">
        <v>32446</v>
      </c>
      <c r="N229" s="81">
        <v>35422</v>
      </c>
      <c r="O229" s="81">
        <v>37961</v>
      </c>
      <c r="P229" s="81">
        <v>39322</v>
      </c>
      <c r="U229" s="81">
        <v>4909</v>
      </c>
      <c r="V229" s="81">
        <v>7401</v>
      </c>
      <c r="W229" s="81">
        <v>11226</v>
      </c>
      <c r="X229" s="81">
        <v>17360</v>
      </c>
      <c r="Y229" s="81">
        <v>22531</v>
      </c>
      <c r="Z229" s="81">
        <v>27720</v>
      </c>
      <c r="AA229" s="81">
        <v>37961</v>
      </c>
    </row>
    <row r="230" spans="2:27" x14ac:dyDescent="0.2">
      <c r="B230" t="s">
        <v>406</v>
      </c>
      <c r="D230" s="81">
        <v>4946</v>
      </c>
      <c r="E230" s="81">
        <v>5294</v>
      </c>
      <c r="F230" s="81">
        <v>5568</v>
      </c>
      <c r="G230" s="81">
        <v>5795</v>
      </c>
      <c r="H230" s="81">
        <v>6043</v>
      </c>
      <c r="I230" s="81">
        <v>6126</v>
      </c>
      <c r="J230" s="81">
        <v>6625</v>
      </c>
      <c r="K230" s="81">
        <v>6522</v>
      </c>
      <c r="L230" s="81">
        <v>6654</v>
      </c>
      <c r="M230" s="81">
        <v>6661</v>
      </c>
      <c r="N230" s="81">
        <v>6841</v>
      </c>
      <c r="O230" s="81">
        <v>6972</v>
      </c>
      <c r="P230" s="81">
        <v>7079</v>
      </c>
      <c r="U230" s="81">
        <v>959</v>
      </c>
      <c r="V230" s="81">
        <v>1841</v>
      </c>
      <c r="W230" s="81">
        <v>3112</v>
      </c>
      <c r="X230" s="81">
        <v>4321</v>
      </c>
      <c r="Y230" s="81">
        <v>5795</v>
      </c>
      <c r="Z230" s="81">
        <v>6522</v>
      </c>
      <c r="AA230" s="81">
        <v>6972</v>
      </c>
    </row>
    <row r="231" spans="2:27" x14ac:dyDescent="0.2">
      <c r="B231" t="s">
        <v>407</v>
      </c>
      <c r="D231" s="81">
        <v>2533</v>
      </c>
      <c r="E231" s="81">
        <v>2814</v>
      </c>
      <c r="F231" s="81">
        <v>2951</v>
      </c>
      <c r="G231" s="81">
        <v>4764</v>
      </c>
      <c r="H231" s="81">
        <v>5045</v>
      </c>
      <c r="I231" s="81">
        <v>5147</v>
      </c>
      <c r="J231" s="81">
        <v>5375</v>
      </c>
      <c r="K231" s="81">
        <v>5642</v>
      </c>
      <c r="L231" s="81">
        <v>5831</v>
      </c>
      <c r="M231" s="81">
        <v>6449</v>
      </c>
      <c r="N231" s="81">
        <v>7056</v>
      </c>
      <c r="O231" s="81">
        <v>7416</v>
      </c>
      <c r="P231" s="81">
        <v>7162</v>
      </c>
      <c r="U231" s="81">
        <v>681</v>
      </c>
      <c r="V231" s="81">
        <v>1187</v>
      </c>
      <c r="W231" s="81">
        <v>1813</v>
      </c>
      <c r="X231" s="81">
        <v>2458</v>
      </c>
      <c r="Y231" s="81">
        <v>4764</v>
      </c>
      <c r="Z231" s="81">
        <v>5642</v>
      </c>
      <c r="AA231" s="81">
        <v>7416</v>
      </c>
    </row>
    <row r="232" spans="2:27" x14ac:dyDescent="0.2">
      <c r="B232" t="s">
        <v>408</v>
      </c>
      <c r="D232" s="81">
        <v>2398</v>
      </c>
      <c r="E232" s="81">
        <v>2557</v>
      </c>
      <c r="F232" s="81">
        <v>2685</v>
      </c>
      <c r="G232" s="81">
        <v>2840</v>
      </c>
      <c r="H232" s="81">
        <v>2955</v>
      </c>
      <c r="I232" s="81">
        <v>3004</v>
      </c>
      <c r="J232" s="81">
        <v>2995</v>
      </c>
      <c r="K232" s="81">
        <v>3353</v>
      </c>
      <c r="L232" s="81">
        <v>3573</v>
      </c>
      <c r="M232" s="81">
        <v>3804</v>
      </c>
      <c r="N232" s="81">
        <v>3794</v>
      </c>
      <c r="O232" s="81">
        <v>4185</v>
      </c>
      <c r="P232" s="81">
        <v>4323</v>
      </c>
      <c r="U232" s="81">
        <v>0</v>
      </c>
      <c r="V232" s="81">
        <v>0</v>
      </c>
      <c r="W232" s="81">
        <v>1635</v>
      </c>
      <c r="X232" s="81">
        <v>2295</v>
      </c>
      <c r="Y232" s="81">
        <v>2840</v>
      </c>
      <c r="Z232" s="81">
        <v>3353</v>
      </c>
      <c r="AA232" s="81">
        <v>4185</v>
      </c>
    </row>
    <row r="233" spans="2:27" ht="13.5" x14ac:dyDescent="0.35">
      <c r="B233" t="s">
        <v>409</v>
      </c>
      <c r="D233" s="82">
        <v>12318</v>
      </c>
      <c r="E233" s="82">
        <v>12593</v>
      </c>
      <c r="F233" s="82">
        <v>13201</v>
      </c>
      <c r="G233" s="82">
        <v>14687</v>
      </c>
      <c r="H233" s="82">
        <v>17031</v>
      </c>
      <c r="I233" s="82">
        <v>21100</v>
      </c>
      <c r="J233" s="82">
        <v>23623</v>
      </c>
      <c r="K233" s="82">
        <v>25052</v>
      </c>
      <c r="L233" s="82">
        <v>25039</v>
      </c>
      <c r="M233" s="82">
        <v>24843</v>
      </c>
      <c r="N233" s="82">
        <v>22945</v>
      </c>
      <c r="O233" s="82">
        <v>24269</v>
      </c>
      <c r="P233" s="82">
        <v>22975</v>
      </c>
      <c r="U233" s="82">
        <v>2992</v>
      </c>
      <c r="V233" s="82">
        <v>7228</v>
      </c>
      <c r="W233" s="82">
        <v>10099</v>
      </c>
      <c r="X233" s="82">
        <v>11288</v>
      </c>
      <c r="Y233" s="82">
        <v>14687</v>
      </c>
      <c r="Z233" s="82">
        <v>25052</v>
      </c>
      <c r="AA233" s="82">
        <v>24269</v>
      </c>
    </row>
    <row r="234" spans="2:27" x14ac:dyDescent="0.2">
      <c r="B234" s="110" t="s">
        <v>392</v>
      </c>
      <c r="D234" s="111">
        <f t="shared" ref="D234:P234" si="201">SUM(D227:D233)</f>
        <v>64210</v>
      </c>
      <c r="E234" s="111">
        <f t="shared" si="201"/>
        <v>68644</v>
      </c>
      <c r="F234" s="111">
        <f t="shared" si="201"/>
        <v>72375</v>
      </c>
      <c r="G234" s="111">
        <f t="shared" si="201"/>
        <v>77889</v>
      </c>
      <c r="H234" s="111">
        <f t="shared" si="201"/>
        <v>83035</v>
      </c>
      <c r="I234" s="111">
        <f t="shared" si="201"/>
        <v>90022</v>
      </c>
      <c r="J234" s="111">
        <f t="shared" si="201"/>
        <v>97131</v>
      </c>
      <c r="K234" s="111">
        <f t="shared" si="201"/>
        <v>104493</v>
      </c>
      <c r="L234" s="111">
        <f t="shared" si="201"/>
        <v>111135</v>
      </c>
      <c r="M234" s="111">
        <f t="shared" si="201"/>
        <v>116902</v>
      </c>
      <c r="N234" s="111">
        <f t="shared" si="201"/>
        <v>122620</v>
      </c>
      <c r="O234" s="111">
        <f t="shared" si="201"/>
        <v>129721</v>
      </c>
      <c r="P234" s="111">
        <f t="shared" si="201"/>
        <v>134818</v>
      </c>
      <c r="U234" s="111">
        <f t="shared" ref="U234:AA234" si="202">SUM(U227:U233)</f>
        <v>18337</v>
      </c>
      <c r="V234" s="111">
        <f t="shared" si="202"/>
        <v>31573</v>
      </c>
      <c r="W234" s="111">
        <f t="shared" si="202"/>
        <v>45986</v>
      </c>
      <c r="X234" s="111">
        <f t="shared" si="202"/>
        <v>61051</v>
      </c>
      <c r="Y234" s="111">
        <f t="shared" si="202"/>
        <v>77889</v>
      </c>
      <c r="Z234" s="111">
        <f t="shared" si="202"/>
        <v>104493</v>
      </c>
      <c r="AA234" s="111">
        <f t="shared" si="202"/>
        <v>129721</v>
      </c>
    </row>
    <row r="235" spans="2:27" x14ac:dyDescent="0.2">
      <c r="B235" s="110"/>
      <c r="AA235" s="81"/>
    </row>
    <row r="236" spans="2:27" x14ac:dyDescent="0.2">
      <c r="B236" t="s">
        <v>393</v>
      </c>
      <c r="D236" s="64">
        <f>+X234</f>
        <v>61051</v>
      </c>
      <c r="E236" s="64">
        <f t="shared" ref="E236:P236" si="203">+D240</f>
        <v>64210</v>
      </c>
      <c r="F236" s="64">
        <f t="shared" si="203"/>
        <v>68644</v>
      </c>
      <c r="G236" s="64">
        <f t="shared" si="203"/>
        <v>72375</v>
      </c>
      <c r="H236" s="64">
        <f t="shared" si="203"/>
        <v>77889</v>
      </c>
      <c r="I236" s="64">
        <f t="shared" si="203"/>
        <v>83035</v>
      </c>
      <c r="J236" s="64">
        <f t="shared" si="203"/>
        <v>90022</v>
      </c>
      <c r="K236" s="64">
        <f t="shared" si="203"/>
        <v>97131</v>
      </c>
      <c r="L236" s="64">
        <f t="shared" si="203"/>
        <v>104493</v>
      </c>
      <c r="M236" s="64">
        <f t="shared" si="203"/>
        <v>111135</v>
      </c>
      <c r="N236" s="64">
        <f t="shared" si="203"/>
        <v>116902</v>
      </c>
      <c r="O236" s="64">
        <f t="shared" si="203"/>
        <v>122620</v>
      </c>
      <c r="P236" s="64">
        <f t="shared" si="203"/>
        <v>129721</v>
      </c>
      <c r="V236" s="64">
        <f t="shared" ref="V236:AA236" si="204">+U234</f>
        <v>18337</v>
      </c>
      <c r="W236" s="64">
        <f t="shared" si="204"/>
        <v>31573</v>
      </c>
      <c r="X236" s="64">
        <f t="shared" si="204"/>
        <v>45986</v>
      </c>
      <c r="Y236" s="64">
        <f t="shared" si="204"/>
        <v>61051</v>
      </c>
      <c r="Z236" s="64">
        <f t="shared" si="204"/>
        <v>77889</v>
      </c>
      <c r="AA236" s="64">
        <f t="shared" si="204"/>
        <v>104493</v>
      </c>
    </row>
    <row r="237" spans="2:27" x14ac:dyDescent="0.2">
      <c r="B237" t="s">
        <v>376</v>
      </c>
      <c r="D237" s="81">
        <v>4272</v>
      </c>
      <c r="E237" s="81">
        <v>4612</v>
      </c>
      <c r="F237" s="81">
        <v>4313</v>
      </c>
      <c r="G237" s="81">
        <v>5370</v>
      </c>
      <c r="H237" s="81">
        <v>5441</v>
      </c>
      <c r="I237" s="81">
        <v>7572</v>
      </c>
      <c r="J237" s="81">
        <v>9375</v>
      </c>
      <c r="K237" s="81">
        <v>9043</v>
      </c>
      <c r="L237" s="81">
        <v>6842</v>
      </c>
      <c r="M237" s="81">
        <v>6216</v>
      </c>
      <c r="N237" s="81">
        <v>6543</v>
      </c>
      <c r="O237" s="81">
        <v>7665</v>
      </c>
      <c r="P237" s="81">
        <v>6400</v>
      </c>
      <c r="V237" s="81">
        <v>13915</v>
      </c>
      <c r="W237" s="81">
        <v>15102</v>
      </c>
      <c r="X237" s="81">
        <v>15115</v>
      </c>
      <c r="Y237" s="81">
        <v>18567</v>
      </c>
      <c r="Z237" s="81">
        <v>31431</v>
      </c>
      <c r="AA237" s="81">
        <v>27266</v>
      </c>
    </row>
    <row r="238" spans="2:27" x14ac:dyDescent="0.2">
      <c r="B238" t="s">
        <v>377</v>
      </c>
      <c r="D238" s="81">
        <v>0</v>
      </c>
      <c r="E238" s="81">
        <v>0</v>
      </c>
      <c r="F238" s="81">
        <v>0</v>
      </c>
      <c r="G238" s="81">
        <v>0</v>
      </c>
      <c r="H238" s="81">
        <v>-126</v>
      </c>
      <c r="I238" s="81">
        <v>-44</v>
      </c>
      <c r="J238" s="81">
        <v>-20</v>
      </c>
      <c r="K238" s="81">
        <v>-55</v>
      </c>
      <c r="L238" s="81">
        <v>-19</v>
      </c>
      <c r="M238" s="81">
        <v>-82</v>
      </c>
      <c r="N238" s="81">
        <v>-47</v>
      </c>
      <c r="O238" s="81">
        <v>-73</v>
      </c>
      <c r="P238" s="81">
        <v>0</v>
      </c>
      <c r="V238" s="81">
        <v>0</v>
      </c>
      <c r="W238" s="81">
        <v>0</v>
      </c>
      <c r="X238" s="81">
        <v>0</v>
      </c>
      <c r="Y238" s="81">
        <v>0</v>
      </c>
      <c r="Z238" s="81">
        <v>-245</v>
      </c>
      <c r="AA238" s="81">
        <v>-221</v>
      </c>
    </row>
    <row r="239" spans="2:27" ht="13.5" x14ac:dyDescent="0.35">
      <c r="B239" t="s">
        <v>33</v>
      </c>
      <c r="D239" s="72">
        <f t="shared" ref="D239:P239" si="205">+D240-SUM(D236:D238)</f>
        <v>-1113</v>
      </c>
      <c r="E239" s="72">
        <f t="shared" si="205"/>
        <v>-178</v>
      </c>
      <c r="F239" s="72">
        <f t="shared" si="205"/>
        <v>-582</v>
      </c>
      <c r="G239" s="72">
        <f t="shared" si="205"/>
        <v>144</v>
      </c>
      <c r="H239" s="72">
        <f t="shared" si="205"/>
        <v>-169</v>
      </c>
      <c r="I239" s="72">
        <f t="shared" si="205"/>
        <v>-541</v>
      </c>
      <c r="J239" s="72">
        <f t="shared" si="205"/>
        <v>-2246</v>
      </c>
      <c r="K239" s="72">
        <f t="shared" si="205"/>
        <v>-1626</v>
      </c>
      <c r="L239" s="72">
        <f t="shared" si="205"/>
        <v>-181</v>
      </c>
      <c r="M239" s="72">
        <f t="shared" si="205"/>
        <v>-367</v>
      </c>
      <c r="N239" s="72">
        <f t="shared" si="205"/>
        <v>-778</v>
      </c>
      <c r="O239" s="72">
        <f t="shared" si="205"/>
        <v>-491</v>
      </c>
      <c r="P239" s="72">
        <f t="shared" si="205"/>
        <v>-1303</v>
      </c>
      <c r="V239" s="72">
        <f t="shared" ref="V239:AA239" si="206">+V240-SUM(V236:V238)</f>
        <v>-679</v>
      </c>
      <c r="W239" s="72">
        <f t="shared" si="206"/>
        <v>-689</v>
      </c>
      <c r="X239" s="72">
        <f t="shared" si="206"/>
        <v>-50</v>
      </c>
      <c r="Y239" s="72">
        <f t="shared" si="206"/>
        <v>-1729</v>
      </c>
      <c r="Z239" s="72">
        <f t="shared" si="206"/>
        <v>-4582</v>
      </c>
      <c r="AA239" s="72">
        <f t="shared" si="206"/>
        <v>-1817</v>
      </c>
    </row>
    <row r="240" spans="2:27" x14ac:dyDescent="0.2">
      <c r="B240" s="110" t="s">
        <v>392</v>
      </c>
      <c r="D240" s="111">
        <f t="shared" ref="D240:P240" si="207">+D234</f>
        <v>64210</v>
      </c>
      <c r="E240" s="111">
        <f t="shared" si="207"/>
        <v>68644</v>
      </c>
      <c r="F240" s="111">
        <f t="shared" si="207"/>
        <v>72375</v>
      </c>
      <c r="G240" s="111">
        <f t="shared" si="207"/>
        <v>77889</v>
      </c>
      <c r="H240" s="111">
        <f t="shared" si="207"/>
        <v>83035</v>
      </c>
      <c r="I240" s="111">
        <f t="shared" si="207"/>
        <v>90022</v>
      </c>
      <c r="J240" s="111">
        <f t="shared" si="207"/>
        <v>97131</v>
      </c>
      <c r="K240" s="111">
        <f t="shared" si="207"/>
        <v>104493</v>
      </c>
      <c r="L240" s="111">
        <f t="shared" si="207"/>
        <v>111135</v>
      </c>
      <c r="M240" s="111">
        <f t="shared" si="207"/>
        <v>116902</v>
      </c>
      <c r="N240" s="111">
        <f t="shared" si="207"/>
        <v>122620</v>
      </c>
      <c r="O240" s="111">
        <f t="shared" si="207"/>
        <v>129721</v>
      </c>
      <c r="P240" s="111">
        <f t="shared" si="207"/>
        <v>134818</v>
      </c>
      <c r="V240" s="111">
        <f t="shared" ref="V240:AA240" si="208">+V234</f>
        <v>31573</v>
      </c>
      <c r="W240" s="111">
        <f t="shared" si="208"/>
        <v>45986</v>
      </c>
      <c r="X240" s="111">
        <f t="shared" si="208"/>
        <v>61051</v>
      </c>
      <c r="Y240" s="111">
        <f t="shared" si="208"/>
        <v>77889</v>
      </c>
      <c r="Z240" s="111">
        <f t="shared" si="208"/>
        <v>104493</v>
      </c>
      <c r="AA240" s="111">
        <f t="shared" si="208"/>
        <v>129721</v>
      </c>
    </row>
    <row r="242" spans="2:2" x14ac:dyDescent="0.2">
      <c r="B242" s="54" t="s">
        <v>394</v>
      </c>
    </row>
    <row r="243" spans="2:2" x14ac:dyDescent="0.2">
      <c r="B243" s="44" t="s">
        <v>388</v>
      </c>
    </row>
    <row r="245" spans="2:2" x14ac:dyDescent="0.2">
      <c r="B245" t="s">
        <v>395</v>
      </c>
    </row>
    <row r="246" spans="2:2" x14ac:dyDescent="0.2">
      <c r="B246" t="s">
        <v>396</v>
      </c>
    </row>
    <row r="247" spans="2:2" x14ac:dyDescent="0.2">
      <c r="B247" t="s">
        <v>33</v>
      </c>
    </row>
    <row r="248" spans="2:2" x14ac:dyDescent="0.2">
      <c r="B248" s="110" t="s">
        <v>388</v>
      </c>
    </row>
    <row r="249" spans="2:2" x14ac:dyDescent="0.2">
      <c r="B249" s="60" t="s">
        <v>397</v>
      </c>
    </row>
    <row r="250" spans="2:2" x14ac:dyDescent="0.2">
      <c r="B250" s="60"/>
    </row>
    <row r="251" spans="2:2" x14ac:dyDescent="0.2">
      <c r="B251" s="54" t="s">
        <v>398</v>
      </c>
    </row>
    <row r="252" spans="2:2" x14ac:dyDescent="0.2">
      <c r="B252" t="s">
        <v>392</v>
      </c>
    </row>
    <row r="253" spans="2:2" x14ac:dyDescent="0.2">
      <c r="B253" t="s">
        <v>388</v>
      </c>
    </row>
    <row r="254" spans="2:2" x14ac:dyDescent="0.2">
      <c r="B254" s="110" t="s">
        <v>399</v>
      </c>
    </row>
    <row r="256" spans="2:2" x14ac:dyDescent="0.2">
      <c r="B256" t="s">
        <v>400</v>
      </c>
    </row>
    <row r="257" spans="2:2" x14ac:dyDescent="0.2">
      <c r="B257" t="s">
        <v>376</v>
      </c>
    </row>
    <row r="258" spans="2:2" x14ac:dyDescent="0.2">
      <c r="B258" t="s">
        <v>377</v>
      </c>
    </row>
    <row r="259" spans="2:2" x14ac:dyDescent="0.2">
      <c r="B259" t="s">
        <v>396</v>
      </c>
    </row>
    <row r="260" spans="2:2" x14ac:dyDescent="0.2">
      <c r="B260" t="s">
        <v>33</v>
      </c>
    </row>
    <row r="261" spans="2:2" x14ac:dyDescent="0.2">
      <c r="B261" s="110" t="s">
        <v>399</v>
      </c>
    </row>
  </sheetData>
  <phoneticPr fontId="13" type="noConversion"/>
  <pageMargins left="0.3" right="0.3" top="0.3" bottom="0.3" header="0.3" footer="0.3"/>
  <pageSetup scale="55"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38162-6855-4C8E-9C56-4314A0061D1F}">
  <dimension ref="A2:S10"/>
  <sheetViews>
    <sheetView workbookViewId="0">
      <selection activeCell="S10" sqref="A2:S10"/>
    </sheetView>
  </sheetViews>
  <sheetFormatPr defaultRowHeight="11.25" x14ac:dyDescent="0.2"/>
  <cols>
    <col min="1" max="1" width="30" customWidth="1"/>
    <col min="2" max="2" width="2.83203125" customWidth="1"/>
    <col min="16" max="16" width="2.83203125" customWidth="1"/>
  </cols>
  <sheetData>
    <row r="2" spans="1:19" x14ac:dyDescent="0.2">
      <c r="C2" s="162" t="s">
        <v>276</v>
      </c>
      <c r="D2" s="163"/>
      <c r="E2" s="163"/>
      <c r="F2" s="163"/>
      <c r="G2" s="163"/>
      <c r="H2" s="163"/>
      <c r="I2" s="163"/>
      <c r="J2" s="163"/>
      <c r="K2" s="163"/>
      <c r="L2" s="163"/>
      <c r="M2" s="163"/>
      <c r="N2" s="163"/>
      <c r="O2" s="163"/>
      <c r="Q2" s="97"/>
      <c r="R2" s="289" t="s">
        <v>278</v>
      </c>
      <c r="S2" s="97"/>
    </row>
    <row r="3" spans="1:19" ht="13.5" x14ac:dyDescent="0.35">
      <c r="C3" s="51" t="s">
        <v>100</v>
      </c>
      <c r="D3" s="51" t="s">
        <v>101</v>
      </c>
      <c r="E3" s="51" t="s">
        <v>304</v>
      </c>
      <c r="F3" s="51" t="s">
        <v>320</v>
      </c>
      <c r="G3" s="51" t="s">
        <v>326</v>
      </c>
      <c r="H3" s="51" t="s">
        <v>329</v>
      </c>
      <c r="I3" s="51" t="s">
        <v>330</v>
      </c>
      <c r="J3" s="51" t="s">
        <v>333</v>
      </c>
      <c r="K3" s="51" t="s">
        <v>335</v>
      </c>
      <c r="L3" s="51" t="s">
        <v>350</v>
      </c>
      <c r="M3" s="51" t="s">
        <v>358</v>
      </c>
      <c r="N3" s="51" t="s">
        <v>359</v>
      </c>
      <c r="O3" s="51" t="s">
        <v>360</v>
      </c>
      <c r="Q3" s="51" t="s">
        <v>321</v>
      </c>
      <c r="R3" s="51" t="s">
        <v>306</v>
      </c>
      <c r="S3" s="51" t="s">
        <v>357</v>
      </c>
    </row>
    <row r="4" spans="1:19" x14ac:dyDescent="0.2">
      <c r="A4" s="54" t="s">
        <v>568</v>
      </c>
    </row>
    <row r="5" spans="1:19" x14ac:dyDescent="0.2">
      <c r="A5" t="s">
        <v>564</v>
      </c>
      <c r="C5" s="64">
        <f>+Sheet3!X232</f>
        <v>2295</v>
      </c>
      <c r="D5" s="64">
        <f>+Sheet3!D232</f>
        <v>2398</v>
      </c>
      <c r="E5" s="64">
        <f>+Sheet3!E232</f>
        <v>2557</v>
      </c>
      <c r="F5" s="64">
        <f>+Sheet3!F232</f>
        <v>2685</v>
      </c>
      <c r="G5" s="64">
        <f>+Sheet3!G232</f>
        <v>2840</v>
      </c>
      <c r="H5" s="64">
        <f>+Sheet3!H232</f>
        <v>2955</v>
      </c>
      <c r="I5" s="64">
        <f>+Sheet3!I232</f>
        <v>3004</v>
      </c>
      <c r="J5" s="64">
        <f>+Sheet3!J232</f>
        <v>2995</v>
      </c>
      <c r="K5" s="64">
        <f>+Sheet3!K232</f>
        <v>3353</v>
      </c>
      <c r="L5" s="64">
        <f>+Sheet3!L232</f>
        <v>3573</v>
      </c>
      <c r="M5" s="64">
        <f>+Sheet3!M232</f>
        <v>3804</v>
      </c>
      <c r="N5" s="64">
        <f>+Sheet3!N232</f>
        <v>3794</v>
      </c>
      <c r="O5" s="64">
        <f>+Sheet3!O232</f>
        <v>4185</v>
      </c>
      <c r="Q5" s="64">
        <f>+C5</f>
        <v>2295</v>
      </c>
      <c r="R5" s="64">
        <f>+Q8</f>
        <v>2840</v>
      </c>
      <c r="S5" s="64">
        <f>+R8</f>
        <v>3353</v>
      </c>
    </row>
    <row r="6" spans="1:19" x14ac:dyDescent="0.2">
      <c r="A6" t="s">
        <v>566</v>
      </c>
      <c r="C6" s="64">
        <f t="shared" ref="C6:O6" si="0">+C8-C7-C5</f>
        <v>254</v>
      </c>
      <c r="D6" s="64">
        <f t="shared" si="0"/>
        <v>282</v>
      </c>
      <c r="E6" s="64">
        <f t="shared" si="0"/>
        <v>359</v>
      </c>
      <c r="F6" s="64">
        <f t="shared" si="0"/>
        <v>327</v>
      </c>
      <c r="G6" s="64">
        <f t="shared" si="0"/>
        <v>348</v>
      </c>
      <c r="H6" s="64">
        <f t="shared" si="0"/>
        <v>268</v>
      </c>
      <c r="I6" s="64">
        <f t="shared" si="0"/>
        <v>154</v>
      </c>
      <c r="J6" s="64">
        <f t="shared" si="0"/>
        <v>593</v>
      </c>
      <c r="K6" s="64">
        <f t="shared" si="0"/>
        <v>484</v>
      </c>
      <c r="L6" s="64">
        <f t="shared" si="0"/>
        <v>451</v>
      </c>
      <c r="M6" s="64">
        <f t="shared" si="0"/>
        <v>257</v>
      </c>
      <c r="N6" s="64">
        <f t="shared" si="0"/>
        <v>698</v>
      </c>
      <c r="O6" s="64">
        <f t="shared" si="0"/>
        <v>453</v>
      </c>
      <c r="Q6" s="64">
        <f>+SUM(C6:F6)</f>
        <v>1222</v>
      </c>
      <c r="R6" s="64">
        <f>+SUM(G6:J6)</f>
        <v>1363</v>
      </c>
      <c r="S6" s="64">
        <f>+SUM(K6:N6)</f>
        <v>1890</v>
      </c>
    </row>
    <row r="7" spans="1:19" ht="13.5" x14ac:dyDescent="0.35">
      <c r="A7" t="s">
        <v>567</v>
      </c>
      <c r="C7" s="65">
        <f>+'Historical Financials'!AV553</f>
        <v>-151</v>
      </c>
      <c r="D7" s="65">
        <f>+'Historical Financials'!AW553</f>
        <v>-123</v>
      </c>
      <c r="E7" s="65">
        <f>+'Historical Financials'!AX553</f>
        <v>-231</v>
      </c>
      <c r="F7" s="65">
        <f>+'Historical Financials'!AY553</f>
        <v>-172</v>
      </c>
      <c r="G7" s="65">
        <f>+'Historical Financials'!AZ553</f>
        <v>-233</v>
      </c>
      <c r="H7" s="65">
        <f>+'Historical Financials'!BA553</f>
        <v>-219</v>
      </c>
      <c r="I7" s="65">
        <f>+'Historical Financials'!BB553</f>
        <v>-163</v>
      </c>
      <c r="J7" s="65">
        <f>+'Historical Financials'!BC553</f>
        <v>-235</v>
      </c>
      <c r="K7" s="65">
        <f>+'Historical Financials'!BD553</f>
        <v>-264</v>
      </c>
      <c r="L7" s="65">
        <f>+'Historical Financials'!BE553</f>
        <v>-220</v>
      </c>
      <c r="M7" s="65">
        <f>+'Historical Financials'!BF553</f>
        <v>-267</v>
      </c>
      <c r="N7" s="65">
        <f>+'Historical Financials'!BG553</f>
        <v>-307</v>
      </c>
      <c r="O7" s="65">
        <f>+'Historical Financials'!BH553</f>
        <v>-315</v>
      </c>
      <c r="Q7" s="65">
        <f>+SUM(C7:F7)</f>
        <v>-677</v>
      </c>
      <c r="R7" s="65">
        <f>+SUM(G7:J7)</f>
        <v>-850</v>
      </c>
      <c r="S7" s="65">
        <f>+SUM(K7:N7)</f>
        <v>-1058</v>
      </c>
    </row>
    <row r="8" spans="1:19" x14ac:dyDescent="0.2">
      <c r="A8" s="70" t="s">
        <v>565</v>
      </c>
      <c r="C8" s="64">
        <f>+Sheet3!D232</f>
        <v>2398</v>
      </c>
      <c r="D8" s="64">
        <f>+Sheet3!E232</f>
        <v>2557</v>
      </c>
      <c r="E8" s="64">
        <f>+Sheet3!F232</f>
        <v>2685</v>
      </c>
      <c r="F8" s="64">
        <f>+Sheet3!G232</f>
        <v>2840</v>
      </c>
      <c r="G8" s="64">
        <f>+Sheet3!H232</f>
        <v>2955</v>
      </c>
      <c r="H8" s="64">
        <f>+Sheet3!I232</f>
        <v>3004</v>
      </c>
      <c r="I8" s="64">
        <f>+Sheet3!J232</f>
        <v>2995</v>
      </c>
      <c r="J8" s="64">
        <f>+Sheet3!K232</f>
        <v>3353</v>
      </c>
      <c r="K8" s="64">
        <f>+Sheet3!L232</f>
        <v>3573</v>
      </c>
      <c r="L8" s="64">
        <f>+Sheet3!M232</f>
        <v>3804</v>
      </c>
      <c r="M8" s="64">
        <f>+Sheet3!N232</f>
        <v>3794</v>
      </c>
      <c r="N8" s="64">
        <f>+Sheet3!O232</f>
        <v>4185</v>
      </c>
      <c r="O8" s="64">
        <f>+Sheet3!P232</f>
        <v>4323</v>
      </c>
      <c r="Q8" s="64">
        <f>+F8</f>
        <v>2840</v>
      </c>
      <c r="R8" s="64">
        <f>SUM(R5:R7)</f>
        <v>3353</v>
      </c>
      <c r="S8" s="64">
        <f>SUM(S5:S7)</f>
        <v>4185</v>
      </c>
    </row>
    <row r="9" spans="1:19" x14ac:dyDescent="0.2">
      <c r="A9" s="101" t="s">
        <v>569</v>
      </c>
      <c r="C9" s="95">
        <f t="shared" ref="C9:O9" si="1">+C8-C5</f>
        <v>103</v>
      </c>
      <c r="D9" s="95">
        <f t="shared" si="1"/>
        <v>159</v>
      </c>
      <c r="E9" s="95">
        <f t="shared" si="1"/>
        <v>128</v>
      </c>
      <c r="F9" s="95">
        <f t="shared" si="1"/>
        <v>155</v>
      </c>
      <c r="G9" s="95">
        <f t="shared" si="1"/>
        <v>115</v>
      </c>
      <c r="H9" s="95">
        <f t="shared" si="1"/>
        <v>49</v>
      </c>
      <c r="I9" s="95">
        <f t="shared" si="1"/>
        <v>-9</v>
      </c>
      <c r="J9" s="95">
        <f t="shared" si="1"/>
        <v>358</v>
      </c>
      <c r="K9" s="95">
        <f t="shared" si="1"/>
        <v>220</v>
      </c>
      <c r="L9" s="95">
        <f t="shared" si="1"/>
        <v>231</v>
      </c>
      <c r="M9" s="95">
        <f t="shared" si="1"/>
        <v>-10</v>
      </c>
      <c r="N9" s="95">
        <f t="shared" si="1"/>
        <v>391</v>
      </c>
      <c r="O9" s="95">
        <f t="shared" si="1"/>
        <v>138</v>
      </c>
      <c r="Q9" s="95">
        <f>+Q8-Q5</f>
        <v>545</v>
      </c>
      <c r="R9" s="95">
        <f>+R8-R5</f>
        <v>513</v>
      </c>
      <c r="S9" s="95">
        <f>+S8-S5</f>
        <v>832</v>
      </c>
    </row>
    <row r="10" spans="1:19" x14ac:dyDescent="0.2">
      <c r="A10" s="67" t="s">
        <v>570</v>
      </c>
      <c r="C10" s="106">
        <f>+C9/-'Historical Financials'!AV90</f>
        <v>2.3287361519330772E-2</v>
      </c>
      <c r="D10" s="106">
        <f>+D9/-'Historical Financials'!AW90</f>
        <v>3.3579725448785638E-2</v>
      </c>
      <c r="E10" s="106">
        <f>+E9/-'Historical Financials'!AX90</f>
        <v>2.8169014084507043E-2</v>
      </c>
      <c r="F10" s="106">
        <f>+F9/-'Historical Financials'!AY90</f>
        <v>2.7968242511728619E-2</v>
      </c>
      <c r="G10" s="106">
        <f>+G9/-'Historical Financials'!AZ90</f>
        <v>2.072819033886085E-2</v>
      </c>
      <c r="H10" s="106">
        <f>+H9/-'Historical Financials'!BA90</f>
        <v>6.3250290435007102E-3</v>
      </c>
      <c r="I10" s="106">
        <f>+I9/-'Historical Financials'!BB90</f>
        <v>-9.4557680184912795E-4</v>
      </c>
      <c r="J10" s="106">
        <f>+J9/-'Historical Financials'!BC90</f>
        <v>3.8816003469586899E-2</v>
      </c>
      <c r="K10" s="106">
        <f>+K9/-'Historical Financials'!BD90</f>
        <v>3.1042754338930435E-2</v>
      </c>
      <c r="L10" s="106">
        <f>+L9/-'Historical Financials'!BE90</f>
        <v>3.6355051935788481E-2</v>
      </c>
      <c r="M10" s="106">
        <f>+M9/-'Historical Financials'!BF90</f>
        <v>-1.4786337424220022E-3</v>
      </c>
      <c r="N10" s="106">
        <f>+N9/-'Historical Financials'!BG90</f>
        <v>4.9499936700848207E-2</v>
      </c>
      <c r="O10" s="106">
        <f>+O9/-'Historical Financials'!BH90</f>
        <v>2.0551005212211468E-2</v>
      </c>
      <c r="P10" s="106"/>
      <c r="Q10" s="106">
        <f>+Q9/-'Historical Financials'!CE90</f>
        <v>2.832051548534608E-2</v>
      </c>
      <c r="R10" s="106">
        <f>+R9/-'Historical Financials'!CF90</f>
        <v>1.6013235110500686E-2</v>
      </c>
      <c r="S10" s="106">
        <f>+S9/-'Historical Financials'!CG90</f>
        <v>2.9605380208518665E-2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6E1A-845B-49F6-B3EB-FB4EFA807212}">
  <sheetPr>
    <pageSetUpPr fitToPage="1"/>
  </sheetPr>
  <dimension ref="A1:AO54"/>
  <sheetViews>
    <sheetView view="pageBreakPreview" zoomScaleNormal="100" zoomScaleSheetLayoutView="100" workbookViewId="0">
      <selection activeCell="AE53" sqref="AE53"/>
    </sheetView>
  </sheetViews>
  <sheetFormatPr defaultRowHeight="11.25" outlineLevelRow="1" outlineLevelCol="1" x14ac:dyDescent="0.2"/>
  <cols>
    <col min="1" max="1" width="2.83203125" customWidth="1"/>
    <col min="2" max="2" width="30.83203125" customWidth="1"/>
    <col min="3" max="3" width="2.83203125" customWidth="1"/>
    <col min="4" max="15" width="9.33203125" hidden="1" customWidth="1" outlineLevel="1"/>
    <col min="16" max="16" width="9.33203125" customWidth="1" collapsed="1"/>
    <col min="17" max="31" width="9.33203125" customWidth="1"/>
    <col min="32" max="32" width="2.83203125" customWidth="1"/>
    <col min="33" max="35" width="0" hidden="1" customWidth="1" outlineLevel="1"/>
    <col min="36" max="36" width="9.1640625" collapsed="1"/>
    <col min="39" max="39" width="9.33203125" customWidth="1"/>
  </cols>
  <sheetData>
    <row r="1" spans="2:39" x14ac:dyDescent="0.2">
      <c r="AA1" t="s">
        <v>359</v>
      </c>
      <c r="AB1" t="s">
        <v>360</v>
      </c>
      <c r="AC1" t="s">
        <v>485</v>
      </c>
      <c r="AD1" t="s">
        <v>490</v>
      </c>
      <c r="AE1" t="s">
        <v>491</v>
      </c>
    </row>
    <row r="2" spans="2:39" x14ac:dyDescent="0.2">
      <c r="B2" s="44" t="s">
        <v>327</v>
      </c>
      <c r="AM2" s="174">
        <f ca="1">TODAY()</f>
        <v>45796</v>
      </c>
    </row>
    <row r="3" spans="2:39" s="97" customFormat="1" x14ac:dyDescent="0.2">
      <c r="B3" s="46" t="s">
        <v>545</v>
      </c>
    </row>
    <row r="4" spans="2:39" x14ac:dyDescent="0.2">
      <c r="B4" s="76" t="s">
        <v>275</v>
      </c>
    </row>
    <row r="5" spans="2:39" x14ac:dyDescent="0.2">
      <c r="D5" s="97"/>
      <c r="E5" s="97"/>
      <c r="F5" s="97"/>
      <c r="G5" s="97"/>
      <c r="H5" s="162" t="s">
        <v>276</v>
      </c>
      <c r="I5" s="163"/>
      <c r="J5" s="163"/>
      <c r="K5" s="163"/>
      <c r="L5" s="163"/>
      <c r="M5" s="163"/>
      <c r="N5" s="163"/>
      <c r="O5" s="163"/>
      <c r="P5" s="162" t="s">
        <v>276</v>
      </c>
      <c r="Q5" s="163"/>
      <c r="R5" s="163"/>
      <c r="S5" s="163"/>
      <c r="T5" s="163"/>
      <c r="U5" s="163"/>
      <c r="V5" s="163"/>
      <c r="W5" s="163"/>
      <c r="X5" s="163"/>
      <c r="Y5" s="163"/>
      <c r="Z5" s="163"/>
      <c r="AA5" s="163"/>
      <c r="AB5" s="163"/>
      <c r="AC5" s="163"/>
      <c r="AD5" s="163"/>
      <c r="AE5" s="163"/>
      <c r="AG5" s="162" t="s">
        <v>278</v>
      </c>
      <c r="AH5" s="163"/>
      <c r="AI5" s="163"/>
      <c r="AJ5" s="162" t="s">
        <v>278</v>
      </c>
      <c r="AK5" s="163"/>
      <c r="AL5" s="163"/>
      <c r="AM5" s="163"/>
    </row>
    <row r="6" spans="2:39" ht="13.5" x14ac:dyDescent="0.35">
      <c r="D6" s="51" t="s">
        <v>88</v>
      </c>
      <c r="E6" s="51" t="s">
        <v>89</v>
      </c>
      <c r="F6" s="51" t="s">
        <v>90</v>
      </c>
      <c r="G6" s="51" t="s">
        <v>91</v>
      </c>
      <c r="H6" s="51" t="s">
        <v>92</v>
      </c>
      <c r="I6" s="51" t="s">
        <v>93</v>
      </c>
      <c r="J6" s="51" t="s">
        <v>94</v>
      </c>
      <c r="K6" s="51" t="s">
        <v>95</v>
      </c>
      <c r="L6" s="51" t="s">
        <v>96</v>
      </c>
      <c r="M6" s="51" t="s">
        <v>97</v>
      </c>
      <c r="N6" s="51" t="s">
        <v>98</v>
      </c>
      <c r="O6" s="51" t="s">
        <v>99</v>
      </c>
      <c r="P6" s="51" t="s">
        <v>100</v>
      </c>
      <c r="Q6" s="51" t="s">
        <v>101</v>
      </c>
      <c r="R6" s="51" t="s">
        <v>304</v>
      </c>
      <c r="S6" s="51" t="s">
        <v>320</v>
      </c>
      <c r="T6" s="51" t="s">
        <v>326</v>
      </c>
      <c r="U6" s="51" t="s">
        <v>329</v>
      </c>
      <c r="V6" s="51" t="s">
        <v>330</v>
      </c>
      <c r="W6" s="51" t="s">
        <v>333</v>
      </c>
      <c r="X6" s="51" t="s">
        <v>335</v>
      </c>
      <c r="Y6" s="51" t="s">
        <v>350</v>
      </c>
      <c r="Z6" s="51" t="s">
        <v>358</v>
      </c>
      <c r="AA6" s="51" t="s">
        <v>359</v>
      </c>
      <c r="AB6" s="51" t="s">
        <v>354</v>
      </c>
      <c r="AC6" s="51" t="s">
        <v>485</v>
      </c>
      <c r="AD6" s="51" t="s">
        <v>490</v>
      </c>
      <c r="AE6" s="51" t="s">
        <v>353</v>
      </c>
      <c r="AG6" s="51" t="s">
        <v>4</v>
      </c>
      <c r="AH6" s="51" t="s">
        <v>5</v>
      </c>
      <c r="AI6" s="51" t="s">
        <v>6</v>
      </c>
      <c r="AJ6" s="51" t="s">
        <v>321</v>
      </c>
      <c r="AK6" s="51" t="s">
        <v>306</v>
      </c>
      <c r="AL6" s="51" t="s">
        <v>357</v>
      </c>
      <c r="AM6" s="51" t="s">
        <v>7</v>
      </c>
    </row>
    <row r="7" spans="2:39" s="280" customFormat="1" outlineLevel="1" x14ac:dyDescent="0.2">
      <c r="B7" s="76" t="s">
        <v>221</v>
      </c>
      <c r="D7" s="281">
        <v>43101</v>
      </c>
      <c r="E7" s="282">
        <f>+D8+1</f>
        <v>43191</v>
      </c>
      <c r="F7" s="282">
        <f t="shared" ref="F7:AE7" si="0">+E8+1</f>
        <v>43282</v>
      </c>
      <c r="G7" s="282">
        <f t="shared" si="0"/>
        <v>43374</v>
      </c>
      <c r="H7" s="282">
        <f t="shared" si="0"/>
        <v>43466</v>
      </c>
      <c r="I7" s="282">
        <f t="shared" si="0"/>
        <v>43556</v>
      </c>
      <c r="J7" s="282">
        <f t="shared" si="0"/>
        <v>43647</v>
      </c>
      <c r="K7" s="282">
        <f t="shared" si="0"/>
        <v>43739</v>
      </c>
      <c r="L7" s="282">
        <f t="shared" si="0"/>
        <v>43831</v>
      </c>
      <c r="M7" s="282">
        <f t="shared" si="0"/>
        <v>43922</v>
      </c>
      <c r="N7" s="282">
        <f t="shared" si="0"/>
        <v>44013</v>
      </c>
      <c r="O7" s="282">
        <f t="shared" si="0"/>
        <v>44105</v>
      </c>
      <c r="P7" s="282">
        <f t="shared" si="0"/>
        <v>44197</v>
      </c>
      <c r="Q7" s="282">
        <f t="shared" si="0"/>
        <v>44287</v>
      </c>
      <c r="R7" s="282">
        <f t="shared" si="0"/>
        <v>44378</v>
      </c>
      <c r="S7" s="282">
        <f t="shared" si="0"/>
        <v>44470</v>
      </c>
      <c r="T7" s="282">
        <f t="shared" si="0"/>
        <v>44562</v>
      </c>
      <c r="U7" s="282">
        <f t="shared" si="0"/>
        <v>44652</v>
      </c>
      <c r="V7" s="282">
        <f t="shared" si="0"/>
        <v>44743</v>
      </c>
      <c r="W7" s="282">
        <f t="shared" si="0"/>
        <v>44835</v>
      </c>
      <c r="X7" s="282">
        <f t="shared" si="0"/>
        <v>44927</v>
      </c>
      <c r="Y7" s="282">
        <f t="shared" si="0"/>
        <v>45017</v>
      </c>
      <c r="Z7" s="282">
        <f t="shared" si="0"/>
        <v>45108</v>
      </c>
      <c r="AA7" s="282">
        <f t="shared" si="0"/>
        <v>45200</v>
      </c>
      <c r="AB7" s="282">
        <f t="shared" si="0"/>
        <v>45292</v>
      </c>
      <c r="AC7" s="282">
        <f t="shared" si="0"/>
        <v>45383</v>
      </c>
      <c r="AD7" s="282">
        <f t="shared" si="0"/>
        <v>45474</v>
      </c>
      <c r="AE7" s="282">
        <f t="shared" si="0"/>
        <v>45566</v>
      </c>
      <c r="AG7" s="281">
        <v>43101</v>
      </c>
      <c r="AH7" s="282">
        <f t="shared" ref="AH7:AM7" si="1">+AG8+1</f>
        <v>43466</v>
      </c>
      <c r="AI7" s="282">
        <f t="shared" si="1"/>
        <v>43831</v>
      </c>
      <c r="AJ7" s="282">
        <f t="shared" si="1"/>
        <v>44197</v>
      </c>
      <c r="AK7" s="282">
        <f t="shared" si="1"/>
        <v>44562</v>
      </c>
      <c r="AL7" s="282">
        <f t="shared" si="1"/>
        <v>44927</v>
      </c>
      <c r="AM7" s="282">
        <f t="shared" si="1"/>
        <v>45292</v>
      </c>
    </row>
    <row r="8" spans="2:39" s="280" customFormat="1" outlineLevel="1" x14ac:dyDescent="0.2">
      <c r="B8" s="76" t="s">
        <v>222</v>
      </c>
      <c r="D8" s="281">
        <v>43190</v>
      </c>
      <c r="E8" s="281">
        <v>43281</v>
      </c>
      <c r="F8" s="281">
        <v>43373</v>
      </c>
      <c r="G8" s="281">
        <v>43465</v>
      </c>
      <c r="H8" s="281">
        <v>43555</v>
      </c>
      <c r="I8" s="281">
        <v>43646</v>
      </c>
      <c r="J8" s="281">
        <v>43738</v>
      </c>
      <c r="K8" s="281">
        <v>43830</v>
      </c>
      <c r="L8" s="281">
        <v>43921</v>
      </c>
      <c r="M8" s="281">
        <v>44012</v>
      </c>
      <c r="N8" s="281">
        <v>44104</v>
      </c>
      <c r="O8" s="281">
        <v>44196</v>
      </c>
      <c r="P8" s="281">
        <v>44286</v>
      </c>
      <c r="Q8" s="281">
        <v>44377</v>
      </c>
      <c r="R8" s="281">
        <v>44469</v>
      </c>
      <c r="S8" s="281">
        <v>44561</v>
      </c>
      <c r="T8" s="281">
        <v>44651</v>
      </c>
      <c r="U8" s="281">
        <v>44742</v>
      </c>
      <c r="V8" s="281">
        <v>44834</v>
      </c>
      <c r="W8" s="281">
        <v>44926</v>
      </c>
      <c r="X8" s="281">
        <v>45016</v>
      </c>
      <c r="Y8" s="281">
        <v>45107</v>
      </c>
      <c r="Z8" s="281">
        <v>45199</v>
      </c>
      <c r="AA8" s="281">
        <v>45291</v>
      </c>
      <c r="AB8" s="281">
        <v>45382</v>
      </c>
      <c r="AC8" s="281">
        <v>45473</v>
      </c>
      <c r="AD8" s="281">
        <v>45565</v>
      </c>
      <c r="AE8" s="281">
        <v>45657</v>
      </c>
      <c r="AG8" s="281">
        <v>43465</v>
      </c>
      <c r="AH8" s="281">
        <v>43830</v>
      </c>
      <c r="AI8" s="281">
        <v>44196</v>
      </c>
      <c r="AJ8" s="281">
        <v>44561</v>
      </c>
      <c r="AK8" s="281">
        <v>44926</v>
      </c>
      <c r="AL8" s="281">
        <v>45291</v>
      </c>
      <c r="AM8" s="281">
        <v>45657</v>
      </c>
    </row>
    <row r="10" spans="2:39" outlineLevel="1" x14ac:dyDescent="0.2">
      <c r="B10" t="s">
        <v>546</v>
      </c>
      <c r="D10" s="81">
        <v>2475</v>
      </c>
      <c r="E10" s="81">
        <v>2772</v>
      </c>
      <c r="F10" s="81">
        <v>3007</v>
      </c>
      <c r="G10" s="81">
        <v>3479</v>
      </c>
      <c r="H10" s="81">
        <v>3337</v>
      </c>
      <c r="I10" s="81">
        <v>3628</v>
      </c>
      <c r="J10" s="81">
        <v>3958</v>
      </c>
      <c r="K10" s="81">
        <v>4483</v>
      </c>
      <c r="L10" s="81">
        <v>3971</v>
      </c>
      <c r="M10" s="81">
        <v>4611</v>
      </c>
      <c r="N10" s="81">
        <v>5311</v>
      </c>
      <c r="O10" s="81">
        <v>5955</v>
      </c>
      <c r="P10" s="81">
        <v>6101</v>
      </c>
      <c r="Q10" s="81">
        <v>6677</v>
      </c>
      <c r="R10" s="81">
        <v>6592</v>
      </c>
      <c r="S10" s="81">
        <v>7369</v>
      </c>
      <c r="T10" s="81">
        <v>6722</v>
      </c>
      <c r="U10" s="81">
        <v>6960</v>
      </c>
      <c r="V10" s="81">
        <v>6797</v>
      </c>
      <c r="W10" s="81">
        <v>7281</v>
      </c>
      <c r="X10" s="81">
        <v>7292</v>
      </c>
      <c r="Y10" s="81">
        <v>8551</v>
      </c>
      <c r="Z10" s="81">
        <v>9790</v>
      </c>
      <c r="AA10" s="81">
        <v>10521</v>
      </c>
      <c r="AB10" s="81">
        <v>10312</v>
      </c>
      <c r="AC10" s="81">
        <v>10967</v>
      </c>
      <c r="AD10" s="81">
        <v>11258.5</v>
      </c>
      <c r="AG10" s="64">
        <f>+SUM(D10:G10)</f>
        <v>11733</v>
      </c>
      <c r="AH10" s="64">
        <f>+SUM(H10:K10)</f>
        <v>15406</v>
      </c>
      <c r="AI10" s="64">
        <f>+SUM(L10:O10)</f>
        <v>19848</v>
      </c>
      <c r="AJ10" s="64">
        <f>+SUM(P10:S10)</f>
        <v>26739</v>
      </c>
      <c r="AK10" s="64">
        <f>+SUM(T10:W10)</f>
        <v>27760</v>
      </c>
      <c r="AL10" s="64">
        <f>+SUM(X10:AA10)</f>
        <v>36154</v>
      </c>
    </row>
    <row r="11" spans="2:39" ht="13.5" outlineLevel="1" x14ac:dyDescent="0.35">
      <c r="B11" t="s">
        <v>547</v>
      </c>
      <c r="D11" s="82">
        <v>-2080</v>
      </c>
      <c r="E11" s="82">
        <v>-2297</v>
      </c>
      <c r="F11" s="82">
        <v>-2406</v>
      </c>
      <c r="G11" s="82">
        <v>-2742</v>
      </c>
      <c r="H11" s="82">
        <v>-2670</v>
      </c>
      <c r="I11" s="82">
        <v>-2985</v>
      </c>
      <c r="J11" s="82">
        <v>-3243</v>
      </c>
      <c r="K11" s="82">
        <v>-3642</v>
      </c>
      <c r="L11" s="82">
        <v>-3236</v>
      </c>
      <c r="M11" s="82">
        <v>-3312</v>
      </c>
      <c r="N11" s="82">
        <v>-4202</v>
      </c>
      <c r="O11" s="82">
        <v>-4703</v>
      </c>
      <c r="P11" s="82">
        <v>-4735</v>
      </c>
      <c r="Q11" s="82">
        <v>-5152</v>
      </c>
      <c r="R11" s="82">
        <v>-5398</v>
      </c>
      <c r="S11" s="82">
        <v>-6183</v>
      </c>
      <c r="T11" s="82">
        <v>-5661</v>
      </c>
      <c r="U11" s="82">
        <v>-5835</v>
      </c>
      <c r="V11" s="82">
        <v>-5717</v>
      </c>
      <c r="W11" s="82">
        <v>-5968</v>
      </c>
      <c r="X11" s="82">
        <v>-5893</v>
      </c>
      <c r="Y11" s="82">
        <v>-6435</v>
      </c>
      <c r="Z11" s="82">
        <v>-6829</v>
      </c>
      <c r="AA11" s="82">
        <v>-7316</v>
      </c>
      <c r="AB11" s="82">
        <v>-7338</v>
      </c>
      <c r="AC11" s="82">
        <v>-7721</v>
      </c>
      <c r="AD11" s="82">
        <v>-8050</v>
      </c>
      <c r="AG11" s="65">
        <f>+SUM(D11:G11)</f>
        <v>-9525</v>
      </c>
      <c r="AH11" s="65">
        <f>+SUM(H11:K11)</f>
        <v>-12540</v>
      </c>
      <c r="AI11" s="65">
        <f>+SUM(L11:O11)</f>
        <v>-15453</v>
      </c>
      <c r="AJ11" s="65">
        <f>+SUM(P11:S11)</f>
        <v>-21468</v>
      </c>
      <c r="AK11" s="65">
        <f>+SUM(T11:W11)</f>
        <v>-23181</v>
      </c>
      <c r="AL11" s="65">
        <f>+SUM(X11:AA11)</f>
        <v>-26473</v>
      </c>
    </row>
    <row r="12" spans="2:39" outlineLevel="1" x14ac:dyDescent="0.2">
      <c r="B12" s="110" t="s">
        <v>548</v>
      </c>
      <c r="D12" s="111">
        <f>SUM(D10:D11)</f>
        <v>395</v>
      </c>
      <c r="E12" s="111">
        <f t="shared" ref="E12:AB12" si="2">SUM(E10:E11)</f>
        <v>475</v>
      </c>
      <c r="F12" s="111">
        <f t="shared" si="2"/>
        <v>601</v>
      </c>
      <c r="G12" s="111">
        <f t="shared" si="2"/>
        <v>737</v>
      </c>
      <c r="H12" s="111">
        <f t="shared" si="2"/>
        <v>667</v>
      </c>
      <c r="I12" s="111">
        <f t="shared" si="2"/>
        <v>643</v>
      </c>
      <c r="J12" s="111">
        <f t="shared" si="2"/>
        <v>715</v>
      </c>
      <c r="K12" s="111">
        <f t="shared" si="2"/>
        <v>841</v>
      </c>
      <c r="L12" s="111">
        <f t="shared" si="2"/>
        <v>735</v>
      </c>
      <c r="M12" s="111">
        <f t="shared" si="2"/>
        <v>1299</v>
      </c>
      <c r="N12" s="111">
        <f t="shared" si="2"/>
        <v>1109</v>
      </c>
      <c r="O12" s="111">
        <f t="shared" si="2"/>
        <v>1252</v>
      </c>
      <c r="P12" s="111">
        <f t="shared" si="2"/>
        <v>1366</v>
      </c>
      <c r="Q12" s="111">
        <f t="shared" si="2"/>
        <v>1525</v>
      </c>
      <c r="R12" s="111">
        <f t="shared" si="2"/>
        <v>1194</v>
      </c>
      <c r="S12" s="111">
        <f t="shared" si="2"/>
        <v>1186</v>
      </c>
      <c r="T12" s="111">
        <f t="shared" si="2"/>
        <v>1061</v>
      </c>
      <c r="U12" s="111">
        <f t="shared" si="2"/>
        <v>1125</v>
      </c>
      <c r="V12" s="111">
        <f t="shared" si="2"/>
        <v>1080</v>
      </c>
      <c r="W12" s="111">
        <f t="shared" si="2"/>
        <v>1313</v>
      </c>
      <c r="X12" s="111">
        <f t="shared" si="2"/>
        <v>1399</v>
      </c>
      <c r="Y12" s="111">
        <f t="shared" si="2"/>
        <v>2116</v>
      </c>
      <c r="Z12" s="111">
        <f t="shared" si="2"/>
        <v>2961</v>
      </c>
      <c r="AA12" s="111">
        <f t="shared" si="2"/>
        <v>3205</v>
      </c>
      <c r="AB12" s="111">
        <f t="shared" si="2"/>
        <v>2974</v>
      </c>
      <c r="AC12" s="111">
        <f t="shared" ref="AC12:AD12" si="3">SUM(AC10:AC11)</f>
        <v>3246</v>
      </c>
      <c r="AD12" s="111">
        <f t="shared" si="3"/>
        <v>3208.5</v>
      </c>
      <c r="AE12" s="111">
        <f>+AE35</f>
        <v>5831.0137948300562</v>
      </c>
      <c r="AG12" s="111">
        <f>+SUM(D12:G12)</f>
        <v>2208</v>
      </c>
      <c r="AH12" s="111">
        <f>+SUM(H12:K12)</f>
        <v>2866</v>
      </c>
      <c r="AI12" s="111">
        <f>+SUM(L12:O12)</f>
        <v>4395</v>
      </c>
      <c r="AJ12" s="111">
        <f>+SUM(P12:S12)</f>
        <v>5271</v>
      </c>
      <c r="AK12" s="111">
        <f>+SUM(T12:W12)</f>
        <v>4579</v>
      </c>
      <c r="AL12" s="111">
        <f>+SUM(X12:AA12)</f>
        <v>9681</v>
      </c>
      <c r="AM12" s="111">
        <f>+SUM(AB12:AE12)</f>
        <v>15259.513794830056</v>
      </c>
    </row>
    <row r="13" spans="2:39" outlineLevel="1" x14ac:dyDescent="0.2">
      <c r="B13" s="101" t="s">
        <v>17</v>
      </c>
      <c r="H13" s="106">
        <f>IFERROR(H12/D12-1,"n/a")</f>
        <v>0.68860759493670876</v>
      </c>
      <c r="I13" s="106">
        <f t="shared" ref="I13:AE13" si="4">IFERROR(I12/E12-1,"n/a")</f>
        <v>0.35368421052631582</v>
      </c>
      <c r="J13" s="106">
        <f t="shared" si="4"/>
        <v>0.18968386023294515</v>
      </c>
      <c r="K13" s="106">
        <f t="shared" si="4"/>
        <v>0.14111261872455905</v>
      </c>
      <c r="L13" s="106">
        <f t="shared" si="4"/>
        <v>0.10194902548725637</v>
      </c>
      <c r="M13" s="106">
        <f t="shared" si="4"/>
        <v>1.020217729393468</v>
      </c>
      <c r="N13" s="106">
        <f t="shared" si="4"/>
        <v>0.55104895104895113</v>
      </c>
      <c r="O13" s="106">
        <f t="shared" si="4"/>
        <v>0.48870392390011896</v>
      </c>
      <c r="P13" s="106">
        <f t="shared" si="4"/>
        <v>0.85850340136054415</v>
      </c>
      <c r="Q13" s="106">
        <f t="shared" si="4"/>
        <v>0.17397998460354125</v>
      </c>
      <c r="R13" s="106">
        <f t="shared" si="4"/>
        <v>7.6645626690712287E-2</v>
      </c>
      <c r="S13" s="106">
        <f t="shared" si="4"/>
        <v>-5.271565495207664E-2</v>
      </c>
      <c r="T13" s="106">
        <f t="shared" si="4"/>
        <v>-0.22327964860907756</v>
      </c>
      <c r="U13" s="106">
        <f t="shared" si="4"/>
        <v>-0.26229508196721307</v>
      </c>
      <c r="V13" s="106">
        <f t="shared" si="4"/>
        <v>-9.5477386934673336E-2</v>
      </c>
      <c r="W13" s="106">
        <f t="shared" si="4"/>
        <v>0.10708263069139967</v>
      </c>
      <c r="X13" s="106">
        <f t="shared" si="4"/>
        <v>0.3185673892554195</v>
      </c>
      <c r="Y13" s="106">
        <f t="shared" si="4"/>
        <v>0.88088888888888883</v>
      </c>
      <c r="Z13" s="106">
        <f t="shared" si="4"/>
        <v>1.7416666666666667</v>
      </c>
      <c r="AA13" s="106">
        <f t="shared" si="4"/>
        <v>1.4409748667174411</v>
      </c>
      <c r="AB13" s="106">
        <f t="shared" si="4"/>
        <v>1.1258041458184418</v>
      </c>
      <c r="AC13" s="106">
        <f t="shared" ref="AC13" si="5">IFERROR(AC12/Y12-1,"n/a")</f>
        <v>0.53402646502835549</v>
      </c>
      <c r="AD13" s="106">
        <f t="shared" ref="AD13" si="6">IFERROR(AD12/Z12-1,"n/a")</f>
        <v>8.358662613981771E-2</v>
      </c>
      <c r="AE13" s="106">
        <f t="shared" si="4"/>
        <v>0.81934907795009559</v>
      </c>
      <c r="AH13" s="106">
        <f t="shared" ref="AH13:AM13" si="7">IFERROR(AH12/AG12-1,"n/a")</f>
        <v>0.29800724637681153</v>
      </c>
      <c r="AI13" s="106">
        <f t="shared" si="7"/>
        <v>0.53349616189811577</v>
      </c>
      <c r="AJ13" s="106">
        <f t="shared" si="7"/>
        <v>0.1993174061433447</v>
      </c>
      <c r="AK13" s="106">
        <f t="shared" si="7"/>
        <v>-0.13128438626446592</v>
      </c>
      <c r="AL13" s="106">
        <f t="shared" si="7"/>
        <v>1.114217077964621</v>
      </c>
      <c r="AM13" s="106">
        <f t="shared" si="7"/>
        <v>0.57623321917467774</v>
      </c>
    </row>
    <row r="14" spans="2:39" outlineLevel="1" x14ac:dyDescent="0.2">
      <c r="B14" s="101" t="s">
        <v>257</v>
      </c>
      <c r="E14" s="106">
        <f>IFERROR(E12/D12-1,"n/a")</f>
        <v>0.20253164556962022</v>
      </c>
      <c r="F14" s="106">
        <f t="shared" ref="F14:AE14" si="8">IFERROR(F12/E12-1,"n/a")</f>
        <v>0.26526315789473687</v>
      </c>
      <c r="G14" s="106">
        <f t="shared" si="8"/>
        <v>0.22628951747088188</v>
      </c>
      <c r="H14" s="106">
        <f t="shared" si="8"/>
        <v>-9.49796472184532E-2</v>
      </c>
      <c r="I14" s="106">
        <f t="shared" si="8"/>
        <v>-3.5982008995502301E-2</v>
      </c>
      <c r="J14" s="106">
        <f t="shared" si="8"/>
        <v>0.11197511664074655</v>
      </c>
      <c r="K14" s="106">
        <f t="shared" si="8"/>
        <v>0.17622377622377616</v>
      </c>
      <c r="L14" s="106">
        <f t="shared" si="8"/>
        <v>-0.12604042806183113</v>
      </c>
      <c r="M14" s="106">
        <f t="shared" si="8"/>
        <v>0.7673469387755103</v>
      </c>
      <c r="N14" s="106">
        <f t="shared" si="8"/>
        <v>-0.14626635873749039</v>
      </c>
      <c r="O14" s="106">
        <f t="shared" si="8"/>
        <v>0.12894499549143368</v>
      </c>
      <c r="P14" s="106">
        <f t="shared" si="8"/>
        <v>9.1054313099041551E-2</v>
      </c>
      <c r="Q14" s="106">
        <f t="shared" si="8"/>
        <v>0.11639824304538804</v>
      </c>
      <c r="R14" s="106">
        <f t="shared" si="8"/>
        <v>-0.21704918032786891</v>
      </c>
      <c r="S14" s="106">
        <f t="shared" si="8"/>
        <v>-6.7001675041875597E-3</v>
      </c>
      <c r="T14" s="106">
        <f t="shared" si="8"/>
        <v>-0.10539629005059026</v>
      </c>
      <c r="U14" s="106">
        <f t="shared" si="8"/>
        <v>6.0320452403393121E-2</v>
      </c>
      <c r="V14" s="106">
        <f t="shared" si="8"/>
        <v>-4.0000000000000036E-2</v>
      </c>
      <c r="W14" s="106">
        <f t="shared" si="8"/>
        <v>0.21574074074074079</v>
      </c>
      <c r="X14" s="106">
        <f t="shared" si="8"/>
        <v>6.5498857578065506E-2</v>
      </c>
      <c r="Y14" s="106">
        <f t="shared" si="8"/>
        <v>0.51250893495353833</v>
      </c>
      <c r="Z14" s="106">
        <f t="shared" si="8"/>
        <v>0.39933837429111541</v>
      </c>
      <c r="AA14" s="106">
        <f t="shared" si="8"/>
        <v>8.2404593042890939E-2</v>
      </c>
      <c r="AB14" s="106">
        <f t="shared" si="8"/>
        <v>-7.2074882995319833E-2</v>
      </c>
      <c r="AC14" s="106">
        <f t="shared" ref="AC14" si="9">IFERROR(AC12/AB12-1,"n/a")</f>
        <v>9.1459314055144514E-2</v>
      </c>
      <c r="AD14" s="106">
        <f t="shared" ref="AD14" si="10">IFERROR(AD12/AC12-1,"n/a")</f>
        <v>-1.155268022181144E-2</v>
      </c>
      <c r="AE14" s="106">
        <f t="shared" si="8"/>
        <v>0.81736443659967462</v>
      </c>
    </row>
    <row r="15" spans="2:39" outlineLevel="1" x14ac:dyDescent="0.2">
      <c r="B15" s="101" t="s">
        <v>549</v>
      </c>
      <c r="E15" s="106"/>
      <c r="F15" s="106"/>
      <c r="G15" s="106"/>
      <c r="H15" s="106">
        <f t="shared" ref="H15:AA15" si="11">+IFERROR(H12/H$51,"n/a")</f>
        <v>4.4239570206274455E-2</v>
      </c>
      <c r="I15" s="106">
        <f t="shared" si="11"/>
        <v>3.8078881914011604E-2</v>
      </c>
      <c r="J15" s="106">
        <f t="shared" si="11"/>
        <v>4.0505325175617495E-2</v>
      </c>
      <c r="K15" s="106">
        <f t="shared" si="11"/>
        <v>3.9891850868039085E-2</v>
      </c>
      <c r="L15" s="106">
        <f t="shared" si="11"/>
        <v>4.1438800248069008E-2</v>
      </c>
      <c r="M15" s="106">
        <f t="shared" si="11"/>
        <v>6.9513565580349976E-2</v>
      </c>
      <c r="N15" s="106">
        <f t="shared" si="11"/>
        <v>5.1653469958081046E-2</v>
      </c>
      <c r="O15" s="106">
        <f t="shared" si="11"/>
        <v>4.4599601025933314E-2</v>
      </c>
      <c r="P15" s="106">
        <f t="shared" si="11"/>
        <v>5.2195177868633223E-2</v>
      </c>
      <c r="Q15" s="106">
        <f t="shared" si="11"/>
        <v>5.24469511985418E-2</v>
      </c>
      <c r="R15" s="106">
        <f t="shared" si="11"/>
        <v>4.1158221302998968E-2</v>
      </c>
      <c r="S15" s="106">
        <f t="shared" si="11"/>
        <v>3.5223189094472987E-2</v>
      </c>
      <c r="T15" s="106">
        <f t="shared" si="11"/>
        <v>3.8017772681668338E-2</v>
      </c>
      <c r="U15" s="106">
        <f t="shared" si="11"/>
        <v>3.9032683366872531E-2</v>
      </c>
      <c r="V15" s="106">
        <f t="shared" si="11"/>
        <v>3.896947391210219E-2</v>
      </c>
      <c r="W15" s="106">
        <f t="shared" si="11"/>
        <v>4.0820767915436033E-2</v>
      </c>
      <c r="X15" s="106">
        <f t="shared" si="11"/>
        <v>4.883923895967883E-2</v>
      </c>
      <c r="Y15" s="106">
        <f t="shared" si="11"/>
        <v>6.6127066470827209E-2</v>
      </c>
      <c r="Z15" s="106">
        <f t="shared" si="11"/>
        <v>8.6715867158671592E-2</v>
      </c>
      <c r="AA15" s="106">
        <f t="shared" si="11"/>
        <v>7.990326843010645E-2</v>
      </c>
      <c r="AB15" s="106">
        <f>+IFERROR(AB12/AB$51,"n/a")</f>
        <v>8.1580030174187357E-2</v>
      </c>
      <c r="AC15" s="106">
        <f t="shared" ref="AC15:AD15" si="12">+IFERROR(AC12/AC$51,"n/a")</f>
        <v>8.3079521896035416E-2</v>
      </c>
      <c r="AD15" s="106">
        <f t="shared" si="12"/>
        <v>7.9048510680233566E-2</v>
      </c>
      <c r="AE15" s="106">
        <f>+IFERROR(AE12/AE$51,"n/a")</f>
        <v>0.12447067763397018</v>
      </c>
      <c r="AG15" s="106">
        <f t="shared" ref="AG15:AM15" si="13">+IFERROR(AG12/AG$51,"n/a")</f>
        <v>3.9542963573193882E-2</v>
      </c>
      <c r="AH15" s="106">
        <f t="shared" si="13"/>
        <v>4.0539202512129224E-2</v>
      </c>
      <c r="AI15" s="106">
        <f t="shared" si="13"/>
        <v>5.1124863318055977E-2</v>
      </c>
      <c r="AJ15" s="106">
        <f t="shared" si="13"/>
        <v>4.4696385113076512E-2</v>
      </c>
      <c r="AK15" s="106">
        <f t="shared" si="13"/>
        <v>3.9267981030623705E-2</v>
      </c>
      <c r="AL15" s="106">
        <f t="shared" si="13"/>
        <v>7.1763737852202733E-2</v>
      </c>
      <c r="AM15" s="106">
        <f t="shared" si="13"/>
        <v>9.3638774512300446E-2</v>
      </c>
    </row>
    <row r="16" spans="2:39" outlineLevel="1" x14ac:dyDescent="0.2">
      <c r="B16" s="101"/>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G16" s="106"/>
      <c r="AH16" s="106"/>
      <c r="AI16" s="106"/>
      <c r="AJ16" s="106"/>
      <c r="AK16" s="106"/>
      <c r="AL16" s="106"/>
      <c r="AM16" s="106"/>
    </row>
    <row r="17" spans="1:41" x14ac:dyDescent="0.2">
      <c r="B17" s="283" t="s">
        <v>550</v>
      </c>
      <c r="E17" s="106"/>
      <c r="F17" s="106"/>
      <c r="G17" s="106"/>
      <c r="H17" s="106"/>
      <c r="I17" s="106"/>
      <c r="J17" s="106"/>
      <c r="K17" s="106"/>
      <c r="L17" s="106"/>
      <c r="M17" s="106"/>
      <c r="N17" s="106"/>
      <c r="O17" s="106"/>
      <c r="P17" s="259">
        <f>+P12/$AJ12*$AJ17</f>
        <v>1966.9778030734208</v>
      </c>
      <c r="Q17" s="259">
        <f>+Q12/$AJ12*$AJ17</f>
        <v>2195.9305634604439</v>
      </c>
      <c r="R17" s="259">
        <f>+R12/$AJ12*$AJ17</f>
        <v>1719.3056346044393</v>
      </c>
      <c r="S17" s="259">
        <f>+S12/$AJ12*$AJ17</f>
        <v>1707.785998861696</v>
      </c>
      <c r="T17" s="259">
        <f>+T12/$AK12*$AK17</f>
        <v>1714.6538545533958</v>
      </c>
      <c r="U17" s="259">
        <f>+U12/$AK12*$AK17</f>
        <v>1818.0825507752784</v>
      </c>
      <c r="V17" s="259">
        <f>+V12/$AK12*$AK17</f>
        <v>1745.3592487442672</v>
      </c>
      <c r="W17" s="259">
        <f>+W12/$AK12*$AK17</f>
        <v>2121.9043459270583</v>
      </c>
      <c r="X17" s="259">
        <f>+X12/$AL12*$AL17</f>
        <v>1978.3400475157523</v>
      </c>
      <c r="Y17" s="259">
        <f>+Y12/$AL12*$AL17</f>
        <v>2992.2569982439832</v>
      </c>
      <c r="Z17" s="259">
        <f>+Z12/$AL12*$AL17</f>
        <v>4187.180043383948</v>
      </c>
      <c r="AA17" s="259">
        <f>+AA12/$AL12*$AL17</f>
        <v>4532.222910856316</v>
      </c>
      <c r="AB17" s="259">
        <f>+AA17*(1+AB14)</f>
        <v>4205.5634748476396</v>
      </c>
      <c r="AC17" s="259">
        <f t="shared" ref="AC17:AD17" si="14">+AB17*(1+AC14)</f>
        <v>4590.2014254725746</v>
      </c>
      <c r="AD17" s="259">
        <f t="shared" si="14"/>
        <v>4537.1722962503873</v>
      </c>
      <c r="AE17" s="111">
        <f>+AE35</f>
        <v>5831.0137948300562</v>
      </c>
      <c r="AG17" s="106"/>
      <c r="AH17" s="106"/>
      <c r="AI17" s="106"/>
      <c r="AJ17" s="113">
        <v>7590</v>
      </c>
      <c r="AK17" s="113">
        <v>7400</v>
      </c>
      <c r="AL17" s="113">
        <v>13690</v>
      </c>
      <c r="AM17" s="111">
        <f>+SUM(AB17:AE17)</f>
        <v>19163.950991400656</v>
      </c>
      <c r="AO17" s="56">
        <f>1/3*AL17</f>
        <v>4563.333333333333</v>
      </c>
    </row>
    <row r="18" spans="1:41" x14ac:dyDescent="0.2">
      <c r="B18" s="60" t="s">
        <v>17</v>
      </c>
      <c r="E18" s="106"/>
      <c r="F18" s="106"/>
      <c r="G18" s="106"/>
      <c r="H18" s="106"/>
      <c r="I18" s="106"/>
      <c r="J18" s="106"/>
      <c r="K18" s="106"/>
      <c r="L18" s="106"/>
      <c r="M18" s="106"/>
      <c r="N18" s="106"/>
      <c r="O18" s="106"/>
      <c r="P18" s="106"/>
      <c r="Q18" s="106"/>
      <c r="R18" s="106"/>
      <c r="S18" s="106"/>
      <c r="T18" s="106">
        <f t="shared" ref="T18:AE18" si="15">IFERROR(T17/P17-1,"n/a")</f>
        <v>-0.12828001827258373</v>
      </c>
      <c r="U18" s="106">
        <f t="shared" si="15"/>
        <v>-0.1720673772533754</v>
      </c>
      <c r="V18" s="106">
        <f t="shared" si="15"/>
        <v>1.5153567588826133E-2</v>
      </c>
      <c r="W18" s="106">
        <f t="shared" si="15"/>
        <v>0.24248843083465244</v>
      </c>
      <c r="X18" s="106">
        <f t="shared" si="15"/>
        <v>0.1537839210299603</v>
      </c>
      <c r="Y18" s="106">
        <f t="shared" si="15"/>
        <v>0.64583120660170557</v>
      </c>
      <c r="Z18" s="106">
        <f t="shared" si="15"/>
        <v>1.3990362135454326</v>
      </c>
      <c r="AA18" s="106">
        <f t="shared" si="15"/>
        <v>1.1359223470915656</v>
      </c>
      <c r="AB18" s="106">
        <f t="shared" si="15"/>
        <v>1.1258041458184418</v>
      </c>
      <c r="AC18" s="106">
        <f t="shared" ref="AC18" si="16">IFERROR(AC17/Y17-1,"n/a")</f>
        <v>0.53402646502835505</v>
      </c>
      <c r="AD18" s="106">
        <f t="shared" ref="AD18" si="17">IFERROR(AD17/Z17-1,"n/a")</f>
        <v>8.3586626139817488E-2</v>
      </c>
      <c r="AE18" s="106">
        <f t="shared" si="15"/>
        <v>0.28656818288056085</v>
      </c>
      <c r="AG18" s="106"/>
      <c r="AH18" s="106"/>
      <c r="AI18" s="106"/>
      <c r="AJ18" s="106"/>
      <c r="AK18" s="106">
        <f>IFERROR(AK17/AJ17-1,"n/a")</f>
        <v>-2.5032938076416378E-2</v>
      </c>
      <c r="AL18" s="106">
        <f>IFERROR(AL17/AK17-1,"n/a")</f>
        <v>0.85000000000000009</v>
      </c>
      <c r="AM18" s="106">
        <f>IFERROR(AM17/AL17-1,"n/a")</f>
        <v>0.39985032807893761</v>
      </c>
    </row>
    <row r="19" spans="1:41" x14ac:dyDescent="0.2">
      <c r="B19" s="60" t="s">
        <v>257</v>
      </c>
      <c r="E19" s="106"/>
      <c r="F19" s="106"/>
      <c r="G19" s="106"/>
      <c r="H19" s="106"/>
      <c r="I19" s="106"/>
      <c r="J19" s="106"/>
      <c r="K19" s="106"/>
      <c r="L19" s="106"/>
      <c r="M19" s="106"/>
      <c r="N19" s="106"/>
      <c r="O19" s="106"/>
      <c r="P19" s="106"/>
      <c r="Q19" s="106">
        <f t="shared" ref="Q19:AE19" si="18">IFERROR(Q17/P17-1,"n/a")</f>
        <v>0.11639824304538782</v>
      </c>
      <c r="R19" s="106">
        <f t="shared" si="18"/>
        <v>-0.21704918032786891</v>
      </c>
      <c r="S19" s="106">
        <f t="shared" si="18"/>
        <v>-6.7001675041875597E-3</v>
      </c>
      <c r="T19" s="106">
        <f t="shared" si="18"/>
        <v>4.0214966607510227E-3</v>
      </c>
      <c r="U19" s="106">
        <f t="shared" si="18"/>
        <v>6.0320452403393121E-2</v>
      </c>
      <c r="V19" s="106">
        <f t="shared" si="18"/>
        <v>-4.0000000000000036E-2</v>
      </c>
      <c r="W19" s="106">
        <f t="shared" si="18"/>
        <v>0.21574074074074079</v>
      </c>
      <c r="X19" s="106">
        <f t="shared" si="18"/>
        <v>-6.7658232892012338E-2</v>
      </c>
      <c r="Y19" s="106">
        <f t="shared" si="18"/>
        <v>0.51250893495353855</v>
      </c>
      <c r="Z19" s="106">
        <f t="shared" si="18"/>
        <v>0.39933837429111541</v>
      </c>
      <c r="AA19" s="106">
        <f t="shared" si="18"/>
        <v>8.2404593042890717E-2</v>
      </c>
      <c r="AB19" s="106">
        <f t="shared" si="18"/>
        <v>-7.2074882995319722E-2</v>
      </c>
      <c r="AC19" s="106">
        <f t="shared" ref="AC19" si="19">IFERROR(AC17/AB17-1,"n/a")</f>
        <v>9.1459314055144514E-2</v>
      </c>
      <c r="AD19" s="106">
        <f t="shared" ref="AD19" si="20">IFERROR(AD17/AC17-1,"n/a")</f>
        <v>-1.1552680221811329E-2</v>
      </c>
      <c r="AE19" s="106">
        <f t="shared" si="18"/>
        <v>0.28516472686058814</v>
      </c>
      <c r="AG19" s="106"/>
      <c r="AH19" s="106"/>
      <c r="AI19" s="106"/>
      <c r="AJ19" s="106"/>
      <c r="AK19" s="106"/>
      <c r="AL19" s="106"/>
      <c r="AM19" s="106"/>
    </row>
    <row r="20" spans="1:41" x14ac:dyDescent="0.2">
      <c r="B20" s="60" t="s">
        <v>549</v>
      </c>
      <c r="E20" s="106"/>
      <c r="F20" s="106"/>
      <c r="G20" s="106"/>
      <c r="H20" s="106"/>
      <c r="I20" s="106"/>
      <c r="J20" s="106"/>
      <c r="K20" s="106"/>
      <c r="L20" s="106"/>
      <c r="M20" s="106"/>
      <c r="N20" s="106"/>
      <c r="O20" s="106"/>
      <c r="P20" s="106">
        <f>+IFERROR(P17/P$51,"n/a")</f>
        <v>7.5158679571793993E-2</v>
      </c>
      <c r="Q20" s="106">
        <f t="shared" ref="Q20:AE20" si="21">+IFERROR(Q17/Q$51,"n/a")</f>
        <v>7.5521221703079539E-2</v>
      </c>
      <c r="R20" s="106">
        <f t="shared" si="21"/>
        <v>5.9265964653720762E-2</v>
      </c>
      <c r="S20" s="106">
        <f t="shared" si="21"/>
        <v>5.0719788508262184E-2</v>
      </c>
      <c r="T20" s="106">
        <f t="shared" si="21"/>
        <v>6.1439510339450901E-2</v>
      </c>
      <c r="U20" s="106">
        <f t="shared" si="21"/>
        <v>6.3079680479331005E-2</v>
      </c>
      <c r="V20" s="106">
        <f t="shared" si="21"/>
        <v>6.2977529362209253E-2</v>
      </c>
      <c r="W20" s="106">
        <f t="shared" si="21"/>
        <v>6.5969356316712524E-2</v>
      </c>
      <c r="X20" s="106">
        <f t="shared" si="21"/>
        <v>6.9064061704163113E-2</v>
      </c>
      <c r="Y20" s="106">
        <f t="shared" si="21"/>
        <v>9.3510953412418607E-2</v>
      </c>
      <c r="Z20" s="106">
        <f t="shared" si="21"/>
        <v>0.12262578467123376</v>
      </c>
      <c r="AA20" s="106">
        <f t="shared" si="21"/>
        <v>0.11299201991614061</v>
      </c>
      <c r="AB20" s="106">
        <f t="shared" si="21"/>
        <v>0.11536314565485227</v>
      </c>
      <c r="AC20" s="106">
        <f t="shared" ref="AC20:AD20" si="22">+IFERROR(AC17/AC$51,"n/a")</f>
        <v>0.11748359206246511</v>
      </c>
      <c r="AD20" s="106">
        <f t="shared" si="22"/>
        <v>0.11178329833822925</v>
      </c>
      <c r="AE20" s="106">
        <f t="shared" si="21"/>
        <v>0.12447067763397018</v>
      </c>
      <c r="AG20" s="106"/>
      <c r="AH20" s="106"/>
      <c r="AI20" s="106"/>
      <c r="AJ20" s="106">
        <f>+IFERROR(AJ17/AJ$51,"n/a")</f>
        <v>6.4360759440002038E-2</v>
      </c>
      <c r="AK20" s="106">
        <f>+IFERROR(AK17/AK$51,"n/a")</f>
        <v>6.3459938769734756E-2</v>
      </c>
      <c r="AL20" s="106">
        <f>+IFERROR(AL17/AL$51,"n/a")</f>
        <v>0.1014818274141778</v>
      </c>
      <c r="AM20" s="106">
        <f>+IFERROR(AM17/AM$51,"n/a")</f>
        <v>0.11759803816662349</v>
      </c>
    </row>
    <row r="21" spans="1:41" x14ac:dyDescent="0.2">
      <c r="B21" s="101"/>
      <c r="E21" s="106"/>
      <c r="F21" s="106"/>
      <c r="G21" s="106"/>
      <c r="H21" s="106"/>
      <c r="I21" s="106"/>
      <c r="J21" s="106"/>
      <c r="K21" s="106"/>
      <c r="L21" s="106"/>
      <c r="M21" s="106"/>
      <c r="N21" s="106"/>
      <c r="O21" s="106"/>
      <c r="P21" s="106"/>
      <c r="Q21" s="106"/>
      <c r="R21" s="106"/>
      <c r="S21" s="106"/>
      <c r="T21" s="106">
        <f t="shared" ref="T21:AE21" si="23">+(T17-P17)/P51</f>
        <v>-9.6413567888129961E-3</v>
      </c>
      <c r="U21" s="106">
        <f t="shared" si="23"/>
        <v>-1.2994738545419592E-2</v>
      </c>
      <c r="V21" s="106">
        <f t="shared" si="23"/>
        <v>8.9809080109713594E-4</v>
      </c>
      <c r="W21" s="106">
        <f t="shared" si="23"/>
        <v>1.2298961927633937E-2</v>
      </c>
      <c r="X21" s="106">
        <f t="shared" si="23"/>
        <v>9.4484088061615474E-3</v>
      </c>
      <c r="Y21" s="106">
        <f t="shared" si="23"/>
        <v>4.0738826156016407E-2</v>
      </c>
      <c r="Z21" s="106">
        <f t="shared" si="23"/>
        <v>8.8107844217351544E-2</v>
      </c>
      <c r="AA21" s="106">
        <f t="shared" si="23"/>
        <v>7.4936066063399892E-2</v>
      </c>
      <c r="AB21" s="106">
        <f t="shared" si="23"/>
        <v>7.7752606993607518E-2</v>
      </c>
      <c r="AC21" s="106">
        <f t="shared" ref="AC21" si="24">+(AC17-Y17)/Y51</f>
        <v>4.9937323892265115E-2</v>
      </c>
      <c r="AD21" s="106">
        <f t="shared" ref="AD21" si="25">+(AD17-Z17)/Z51</f>
        <v>1.024987561841619E-2</v>
      </c>
      <c r="AE21" s="106">
        <f t="shared" si="23"/>
        <v>3.2379917827372547E-2</v>
      </c>
      <c r="AG21" s="106"/>
      <c r="AH21" s="106"/>
      <c r="AI21" s="106"/>
      <c r="AJ21" s="106"/>
      <c r="AK21" s="106"/>
      <c r="AL21" s="106"/>
      <c r="AM21" s="106"/>
    </row>
    <row r="22" spans="1:41" x14ac:dyDescent="0.2">
      <c r="B22" s="62" t="s">
        <v>19</v>
      </c>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41" hidden="1" outlineLevel="1" x14ac:dyDescent="0.2">
      <c r="B23" s="60" t="s">
        <v>551</v>
      </c>
      <c r="D23" s="115">
        <v>1216.2560000000001</v>
      </c>
      <c r="E23" s="115">
        <v>2938.4430000000002</v>
      </c>
      <c r="F23" s="115">
        <v>3049.1790000000001</v>
      </c>
      <c r="G23" s="115">
        <v>5832.13</v>
      </c>
      <c r="H23" s="115">
        <v>4693.134</v>
      </c>
      <c r="I23" s="115">
        <v>5895.3239999999996</v>
      </c>
      <c r="J23" s="115">
        <v>6689.7470000000003</v>
      </c>
      <c r="K23" s="115">
        <v>9035.1820000000007</v>
      </c>
      <c r="L23" s="115">
        <v>7064.8220000000001</v>
      </c>
      <c r="M23" s="115">
        <v>8864.0419999999995</v>
      </c>
      <c r="N23" s="115">
        <v>9736.5370000000003</v>
      </c>
      <c r="O23" s="115">
        <v>14435.651</v>
      </c>
      <c r="P23" s="115">
        <v>12697.924000000001</v>
      </c>
      <c r="Q23" s="115">
        <v>10004.333000000001</v>
      </c>
      <c r="R23" s="115">
        <v>9665.9069999999992</v>
      </c>
      <c r="S23" s="115">
        <v>10821.337</v>
      </c>
      <c r="T23" s="115">
        <v>10717.963</v>
      </c>
      <c r="U23" s="115">
        <v>10829.888000000001</v>
      </c>
      <c r="V23" s="115">
        <v>13440.358</v>
      </c>
      <c r="W23" s="115">
        <v>17196.833999999999</v>
      </c>
      <c r="X23" s="115">
        <v>15770.915000000001</v>
      </c>
      <c r="Y23" s="115">
        <v>16552.883000000002</v>
      </c>
      <c r="Z23" s="115">
        <v>21283.499</v>
      </c>
      <c r="AA23" s="115">
        <v>26227.475999999999</v>
      </c>
      <c r="AB23" s="115">
        <v>22738.28</v>
      </c>
      <c r="AC23" s="202">
        <f>_xll.VAData("PDD_US",AC$1,"Selling and marketing expenses - operating","consensus.vaactuals")</f>
        <v>25411.14</v>
      </c>
      <c r="AD23" s="202">
        <f>_xll.VAData("PDD_US",AD$1,"Selling and marketing expenses - operating","consensus.vaactuals")</f>
        <v>29833.694</v>
      </c>
      <c r="AE23" s="202">
        <f>_xll.VAData("PDD_US",AE$1,"Selling and marketing expenses - operating","consensus.vaactuals")</f>
        <v>31100.627</v>
      </c>
      <c r="AG23" s="95">
        <f>+SUM(D23:G23)</f>
        <v>13036.008000000002</v>
      </c>
      <c r="AH23" s="95">
        <f>+SUM(H23:K23)</f>
        <v>26313.386999999999</v>
      </c>
      <c r="AI23" s="95">
        <f>+SUM(L23:O23)</f>
        <v>40101.051999999996</v>
      </c>
      <c r="AJ23" s="95">
        <f>+SUM(P23:S23)</f>
        <v>43189.501000000004</v>
      </c>
      <c r="AK23" s="95">
        <f>+SUM(T23:W23)</f>
        <v>52185.043000000005</v>
      </c>
      <c r="AL23" s="95">
        <f>+SUM(X23:AA23)</f>
        <v>79834.773000000001</v>
      </c>
      <c r="AM23" s="95">
        <f>+SUM(AB23:AE23)</f>
        <v>109083.74100000001</v>
      </c>
    </row>
    <row r="24" spans="1:41" ht="13.5" hidden="1" outlineLevel="1" x14ac:dyDescent="0.35">
      <c r="A24" t="s">
        <v>552</v>
      </c>
      <c r="B24" s="60" t="s">
        <v>553</v>
      </c>
      <c r="D24" s="284" cm="1">
        <f t="array" ref="D24">_xll.ciqfunctions.udf.CIQAVG("$"&amp;$A24,"IQ_LASTSALEPRICE",D$7,D$8)</f>
        <v>0.157329</v>
      </c>
      <c r="E24" s="284" cm="1">
        <f t="array" ref="E24">_xll.ciqfunctions.udf.CIQAVG("$"&amp;$A24,"IQ_LASTSALEPRICE",E$7,E$8)</f>
        <v>0.15681600000000001</v>
      </c>
      <c r="F24" s="284" cm="1">
        <f t="array" ref="F24">_xll.ciqfunctions.udf.CIQAVG("$"&amp;$A24,"IQ_LASTSALEPRICE",F$7,F$8)</f>
        <v>0.146984</v>
      </c>
      <c r="G24" s="284" cm="1">
        <f t="array" ref="G24">_xll.ciqfunctions.udf.CIQAVG("$"&amp;$A24,"IQ_LASTSALEPRICE",G$7,G$8)</f>
        <v>0.14460799999999999</v>
      </c>
      <c r="H24" s="284" cm="1">
        <f t="array" ref="H24">_xll.ciqfunctions.udf.CIQAVG("$"&amp;$A24,"IQ_LASTSALEPRICE",H$7,H$8)</f>
        <v>0.1482</v>
      </c>
      <c r="I24" s="284" cm="1">
        <f t="array" ref="I24">_xll.ciqfunctions.udf.CIQAVG("$"&amp;$A24,"IQ_LASTSALEPRICE",I$7,I$8)</f>
        <v>0.14660500000000001</v>
      </c>
      <c r="J24" s="284" cm="1">
        <f t="array" ref="J24">_xll.ciqfunctions.udf.CIQAVG("$"&amp;$A24,"IQ_LASTSALEPRICE",J$7,J$8)</f>
        <v>0.14255200000000001</v>
      </c>
      <c r="K24" s="284" cm="1">
        <f t="array" ref="K24">_xll.ciqfunctions.udf.CIQAVG("$"&amp;$A24,"IQ_LASTSALEPRICE",K$7,K$8)</f>
        <v>0.14199000000000001</v>
      </c>
      <c r="L24" s="284" cm="1">
        <f t="array" ref="L24">_xll.ciqfunctions.udf.CIQAVG("$"&amp;$A24,"IQ_LASTSALEPRICE",L$7,L$8)</f>
        <v>0.14328199999999999</v>
      </c>
      <c r="M24" s="284" cm="1">
        <f t="array" ref="M24">_xll.ciqfunctions.udf.CIQAVG("$"&amp;$A24,"IQ_LASTSALEPRICE",M$7,M$8)</f>
        <v>0.14113700000000001</v>
      </c>
      <c r="N24" s="284" cm="1">
        <f t="array" ref="N24">_xll.ciqfunctions.udf.CIQAVG("$"&amp;$A24,"IQ_LASTSALEPRICE",N$7,N$8)</f>
        <v>0.14454500000000001</v>
      </c>
      <c r="O24" s="284" cm="1">
        <f t="array" ref="O24">_xll.ciqfunctions.udf.CIQAVG("$"&amp;$A24,"IQ_LASTSALEPRICE",O$7,O$8)</f>
        <v>0.15103800000000001</v>
      </c>
      <c r="P24" s="284" cm="1">
        <f t="array" ref="P24">_xll.ciqfunctions.udf.CIQAVG("$"&amp;$A24,"IQ_LASTSALEPRICE",P$7,P$8)</f>
        <v>0.154251</v>
      </c>
      <c r="Q24" s="284" cm="1">
        <f t="array" ref="Q24">_xll.ciqfunctions.udf.CIQAVG("$"&amp;$A24,"IQ_LASTSALEPRICE",Q$7,Q$8)</f>
        <v>0.15483</v>
      </c>
      <c r="R24" s="284" cm="1">
        <f t="array" ref="R24">_xll.ciqfunctions.udf.CIQAVG("$"&amp;$A24,"IQ_LASTSALEPRICE",R$7,R$8)</f>
        <v>0.15454300000000001</v>
      </c>
      <c r="S24" s="284" cm="1">
        <f t="array" ref="S24">_xll.ciqfunctions.udf.CIQAVG("$"&amp;$A24,"IQ_LASTSALEPRICE",S$7,S$8)</f>
        <v>0.156413</v>
      </c>
      <c r="T24" s="284" cm="1">
        <f t="array" ref="T24">_xll.ciqfunctions.udf.CIQAVG("$"&amp;$A24,"IQ_LASTSALEPRICE",T$7,T$8)</f>
        <v>0.157531</v>
      </c>
      <c r="U24" s="284" cm="1">
        <f t="array" ref="U24">_xll.ciqfunctions.udf.CIQAVG("$"&amp;$A24,"IQ_LASTSALEPRICE",U$7,U$8)</f>
        <v>0.15138499999999999</v>
      </c>
      <c r="V24" s="284" cm="1">
        <f t="array" ref="V24">_xll.ciqfunctions.udf.CIQAVG("$"&amp;$A24,"IQ_LASTSALEPRICE",V$7,V$8)</f>
        <v>0.14613499999999999</v>
      </c>
      <c r="W24" s="284" cm="1">
        <f t="array" ref="W24">_xll.ciqfunctions.udf.CIQAVG("$"&amp;$A24,"IQ_LASTSALEPRICE",W$7,W$8)</f>
        <v>0.14072599999999999</v>
      </c>
      <c r="X24" s="284" cm="1">
        <f t="array" ref="X24">_xll.ciqfunctions.udf.CIQAVG("$"&amp;$A24,"IQ_LASTSALEPRICE",X$7,X$8)</f>
        <v>0.146172</v>
      </c>
      <c r="Y24" s="284" cm="1">
        <f t="array" ref="Y24">_xll.ciqfunctions.udf.CIQAVG("$"&amp;$A24,"IQ_LASTSALEPRICE",Y$7,Y$8)</f>
        <v>0.14271</v>
      </c>
      <c r="Z24" s="284" cm="1">
        <f t="array" ref="Z24">_xll.ciqfunctions.udf.CIQAVG("$"&amp;$A24,"IQ_LASTSALEPRICE",Z$7,Z$8)</f>
        <v>0.13806499999999999</v>
      </c>
      <c r="AA24" s="284" cm="1">
        <f t="array" ref="AA24">_xll.ciqfunctions.udf.CIQAVG("$"&amp;$A24,"IQ_LASTSALEPRICE",AA$7,AA$8)</f>
        <v>0.13848299999999999</v>
      </c>
      <c r="AB24" s="284" cm="1">
        <f t="array" ref="AB24">_xll.ciqfunctions.udf.CIQAVG("$"&amp;$A24,"IQ_LASTSALEPRICE",AB$7,AB$8)</f>
        <v>0.139289</v>
      </c>
      <c r="AC24" s="284" cm="1">
        <f t="array" ref="AC24">_xll.ciqfunctions.udf.CIQ("$"&amp;$A24,"IQ_LASTSALEPRICE")</f>
        <v>0.138625</v>
      </c>
      <c r="AD24" s="284" cm="1">
        <f t="array" ref="AD24">_xll.ciqfunctions.udf.CIQ("$"&amp;$A24,"IQ_LASTSALEPRICE")</f>
        <v>0.138625</v>
      </c>
      <c r="AE24" s="284" cm="1">
        <f t="array" ref="AE24">_xll.ciqfunctions.udf.CIQ("$"&amp;$A24,"IQ_LASTSALEPRICE")</f>
        <v>0.138625</v>
      </c>
      <c r="AG24" s="284" cm="1">
        <f t="array" ref="AG24">_xll.ciqfunctions.udf.CIQAVG("$"&amp;$A24,"IQ_LASTSALEPRICE",AG$7,AG$8)</f>
        <v>0.15138699999999999</v>
      </c>
      <c r="AH24" s="284" cm="1">
        <f t="array" ref="AH24">_xll.ciqfunctions.udf.CIQAVG("$"&amp;$A24,"IQ_LASTSALEPRICE",AH$7,AH$8)</f>
        <v>0.144814</v>
      </c>
      <c r="AI24" s="284" cm="1">
        <f t="array" ref="AI24">_xll.ciqfunctions.udf.CIQAVG("$"&amp;$A24,"IQ_LASTSALEPRICE",AI$7,AI$8)</f>
        <v>0.14501600000000001</v>
      </c>
      <c r="AJ24" s="284" cm="1">
        <f t="array" ref="AJ24">_xll.ciqfunctions.udf.CIQAVG("$"&amp;$A24,"IQ_LASTSALEPRICE",AJ$7,AJ$8)</f>
        <v>0.15501400000000001</v>
      </c>
      <c r="AK24" s="284" cm="1">
        <f t="array" ref="AK24">_xll.ciqfunctions.udf.CIQAVG("$"&amp;$A24,"IQ_LASTSALEPRICE",AK$7,AK$8)</f>
        <v>0.148891</v>
      </c>
      <c r="AL24" s="285">
        <f>+AL25/AL23</f>
        <v>0.14076690577742357</v>
      </c>
      <c r="AM24" s="285">
        <f>+AM25/AM23</f>
        <v>0.13876340942547064</v>
      </c>
    </row>
    <row r="25" spans="1:41" hidden="1" outlineLevel="1" x14ac:dyDescent="0.2">
      <c r="B25" s="60" t="s">
        <v>554</v>
      </c>
      <c r="D25" s="100">
        <f>+D23*D24</f>
        <v>191.35234022400002</v>
      </c>
      <c r="E25" s="100">
        <f t="shared" ref="E25:AE25" si="26">+E23*E24</f>
        <v>460.79487748800005</v>
      </c>
      <c r="F25" s="100">
        <f t="shared" si="26"/>
        <v>448.18052613600003</v>
      </c>
      <c r="G25" s="100">
        <f t="shared" si="26"/>
        <v>843.37265503999993</v>
      </c>
      <c r="H25" s="100">
        <f t="shared" si="26"/>
        <v>695.52245879999998</v>
      </c>
      <c r="I25" s="100">
        <f t="shared" si="26"/>
        <v>864.28397502000007</v>
      </c>
      <c r="J25" s="100">
        <f t="shared" si="26"/>
        <v>953.63681434400007</v>
      </c>
      <c r="K25" s="100">
        <f t="shared" si="26"/>
        <v>1282.9054921800002</v>
      </c>
      <c r="L25" s="100">
        <f t="shared" si="26"/>
        <v>1012.261825804</v>
      </c>
      <c r="M25" s="100">
        <f t="shared" si="26"/>
        <v>1251.0442957540001</v>
      </c>
      <c r="N25" s="100">
        <f t="shared" si="26"/>
        <v>1407.3677406650002</v>
      </c>
      <c r="O25" s="100">
        <f t="shared" si="26"/>
        <v>2180.3318557379998</v>
      </c>
      <c r="P25" s="100">
        <f t="shared" si="26"/>
        <v>1958.6674749240001</v>
      </c>
      <c r="Q25" s="100">
        <f t="shared" si="26"/>
        <v>1548.9708783900001</v>
      </c>
      <c r="R25" s="100">
        <f t="shared" si="26"/>
        <v>1493.7982655010001</v>
      </c>
      <c r="S25" s="100">
        <f t="shared" si="26"/>
        <v>1692.597784181</v>
      </c>
      <c r="T25" s="100">
        <f t="shared" si="26"/>
        <v>1688.4114293529999</v>
      </c>
      <c r="U25" s="100">
        <f t="shared" si="26"/>
        <v>1639.4825948800001</v>
      </c>
      <c r="V25" s="100">
        <f t="shared" si="26"/>
        <v>1964.1067163299999</v>
      </c>
      <c r="W25" s="100">
        <f t="shared" si="26"/>
        <v>2420.0416614839996</v>
      </c>
      <c r="X25" s="100">
        <f t="shared" si="26"/>
        <v>2305.2661873800002</v>
      </c>
      <c r="Y25" s="100">
        <f t="shared" si="26"/>
        <v>2362.2619329300005</v>
      </c>
      <c r="Z25" s="100">
        <f t="shared" si="26"/>
        <v>2938.5062894349999</v>
      </c>
      <c r="AA25" s="100">
        <f t="shared" si="26"/>
        <v>3632.0595589079999</v>
      </c>
      <c r="AB25" s="100">
        <f t="shared" si="26"/>
        <v>3167.1922829199998</v>
      </c>
      <c r="AC25" s="100">
        <f t="shared" si="26"/>
        <v>3522.6192824999998</v>
      </c>
      <c r="AD25" s="100">
        <f t="shared" si="26"/>
        <v>4135.6958307499999</v>
      </c>
      <c r="AE25" s="100">
        <f t="shared" si="26"/>
        <v>4311.3244178750001</v>
      </c>
      <c r="AG25" s="100">
        <f>+AG23*AG24</f>
        <v>1973.4821430960001</v>
      </c>
      <c r="AH25" s="100">
        <f>+AH23*AH24</f>
        <v>3810.5468250179997</v>
      </c>
      <c r="AI25" s="100">
        <f>+AI23*AI24</f>
        <v>5815.2941568319993</v>
      </c>
      <c r="AJ25" s="100">
        <f>+AJ23*AJ24</f>
        <v>6694.9773080140012</v>
      </c>
      <c r="AK25" s="100">
        <f>+AK23*AK24</f>
        <v>7769.8832373130008</v>
      </c>
      <c r="AL25" s="95">
        <f>+SUM(X25:AA25)</f>
        <v>11238.093968653</v>
      </c>
      <c r="AM25" s="95">
        <f>+SUM(AB25:AE25)</f>
        <v>15136.831814044999</v>
      </c>
    </row>
    <row r="26" spans="1:41" hidden="1" outlineLevel="1" x14ac:dyDescent="0.2">
      <c r="B26" s="101" t="s">
        <v>17</v>
      </c>
      <c r="H26" s="106">
        <f>IFERROR(H25/D25-1,"n/a")</f>
        <v>2.6347737267587665</v>
      </c>
      <c r="I26" s="106">
        <f t="shared" ref="I26:AE26" si="27">IFERROR(I25/E25-1,"n/a")</f>
        <v>0.87563711587160076</v>
      </c>
      <c r="J26" s="106">
        <f t="shared" si="27"/>
        <v>1.1277961864291708</v>
      </c>
      <c r="K26" s="106">
        <f t="shared" si="27"/>
        <v>0.52116088245611181</v>
      </c>
      <c r="L26" s="106">
        <f t="shared" si="27"/>
        <v>0.45539775602714161</v>
      </c>
      <c r="M26" s="106">
        <f t="shared" si="27"/>
        <v>0.44749218070952912</v>
      </c>
      <c r="N26" s="106">
        <f t="shared" si="27"/>
        <v>0.47579006965363257</v>
      </c>
      <c r="O26" s="106">
        <f t="shared" si="27"/>
        <v>0.6995264803434833</v>
      </c>
      <c r="P26" s="106">
        <f t="shared" si="27"/>
        <v>0.93494155859162942</v>
      </c>
      <c r="Q26" s="106">
        <f t="shared" si="27"/>
        <v>0.23814231330349545</v>
      </c>
      <c r="R26" s="106">
        <f t="shared" si="27"/>
        <v>6.1412893260691215E-2</v>
      </c>
      <c r="S26" s="106">
        <f t="shared" si="27"/>
        <v>-0.22369717264526756</v>
      </c>
      <c r="T26" s="106">
        <f t="shared" si="27"/>
        <v>-0.13797954427230519</v>
      </c>
      <c r="U26" s="106">
        <f t="shared" si="27"/>
        <v>5.8433452657339791E-2</v>
      </c>
      <c r="V26" s="106">
        <f t="shared" si="27"/>
        <v>0.31484067272716021</v>
      </c>
      <c r="W26" s="106">
        <f t="shared" si="27"/>
        <v>0.42977952830949095</v>
      </c>
      <c r="X26" s="106">
        <f t="shared" si="27"/>
        <v>0.36534623451546966</v>
      </c>
      <c r="Y26" s="106">
        <f t="shared" si="27"/>
        <v>0.44085819532771753</v>
      </c>
      <c r="Z26" s="106">
        <f t="shared" si="27"/>
        <v>0.49610317250261149</v>
      </c>
      <c r="AA26" s="106">
        <f t="shared" si="27"/>
        <v>0.50082521995955043</v>
      </c>
      <c r="AB26" s="106">
        <f t="shared" si="27"/>
        <v>0.37389439026978599</v>
      </c>
      <c r="AC26" s="106">
        <f t="shared" si="27"/>
        <v>0.49120604848877414</v>
      </c>
      <c r="AD26" s="106">
        <f t="shared" si="27"/>
        <v>0.40741431986017274</v>
      </c>
      <c r="AE26" s="106">
        <f t="shared" si="27"/>
        <v>0.18701919612001761</v>
      </c>
      <c r="AH26" s="106">
        <f t="shared" ref="AH26:AM26" si="28">IFERROR(AH25/AG25-1,"n/a")</f>
        <v>0.93087474257051617</v>
      </c>
      <c r="AI26" s="106">
        <f t="shared" si="28"/>
        <v>0.5261048935685313</v>
      </c>
      <c r="AJ26" s="106">
        <f t="shared" si="28"/>
        <v>0.1512706197585072</v>
      </c>
      <c r="AK26" s="106">
        <f t="shared" si="28"/>
        <v>0.16055408104405666</v>
      </c>
      <c r="AL26" s="106">
        <f t="shared" si="28"/>
        <v>0.44636587518905668</v>
      </c>
      <c r="AM26" s="106">
        <f t="shared" si="28"/>
        <v>0.34692162712528929</v>
      </c>
    </row>
    <row r="27" spans="1:41" hidden="1" outlineLevel="1" x14ac:dyDescent="0.2">
      <c r="B27" s="101" t="s">
        <v>257</v>
      </c>
      <c r="E27" s="106">
        <f>IFERROR(E25/D25-1,"n/a")</f>
        <v>1.4080963783802511</v>
      </c>
      <c r="F27" s="106">
        <f t="shared" ref="F27:AE27" si="29">IFERROR(F25/E25-1,"n/a")</f>
        <v>-2.7375198745191232E-2</v>
      </c>
      <c r="G27" s="106">
        <f t="shared" si="29"/>
        <v>0.88176996959497345</v>
      </c>
      <c r="H27" s="106">
        <f t="shared" si="29"/>
        <v>-0.17530826421327073</v>
      </c>
      <c r="I27" s="106">
        <f t="shared" si="29"/>
        <v>0.24263992353484598</v>
      </c>
      <c r="J27" s="106">
        <f t="shared" si="29"/>
        <v>0.10338365850406084</v>
      </c>
      <c r="K27" s="106">
        <f t="shared" si="29"/>
        <v>0.34527681071383731</v>
      </c>
      <c r="L27" s="106">
        <f t="shared" si="29"/>
        <v>-0.21096149952254406</v>
      </c>
      <c r="M27" s="106">
        <f t="shared" si="29"/>
        <v>0.23589002752360488</v>
      </c>
      <c r="N27" s="106">
        <f t="shared" si="29"/>
        <v>0.12495436447898456</v>
      </c>
      <c r="O27" s="106">
        <f t="shared" si="29"/>
        <v>0.54922682447429394</v>
      </c>
      <c r="P27" s="106">
        <f t="shared" si="29"/>
        <v>-0.10166543236555647</v>
      </c>
      <c r="Q27" s="106">
        <f t="shared" si="29"/>
        <v>-0.20917108277907004</v>
      </c>
      <c r="R27" s="106">
        <f t="shared" si="29"/>
        <v>-3.5618883259023182E-2</v>
      </c>
      <c r="S27" s="106">
        <f t="shared" si="29"/>
        <v>0.13308324374933256</v>
      </c>
      <c r="T27" s="106">
        <f t="shared" si="29"/>
        <v>-2.4733311523420509E-3</v>
      </c>
      <c r="U27" s="106">
        <f t="shared" si="29"/>
        <v>-2.8979213017853889E-2</v>
      </c>
      <c r="V27" s="106">
        <f t="shared" si="29"/>
        <v>0.19800400593686107</v>
      </c>
      <c r="W27" s="106">
        <f t="shared" si="29"/>
        <v>0.23213348916495202</v>
      </c>
      <c r="X27" s="106">
        <f t="shared" si="29"/>
        <v>-4.742706538102226E-2</v>
      </c>
      <c r="Y27" s="106">
        <f t="shared" si="29"/>
        <v>2.4724149368094306E-2</v>
      </c>
      <c r="Z27" s="106">
        <f t="shared" si="29"/>
        <v>0.24393753650775807</v>
      </c>
      <c r="AA27" s="106">
        <f t="shared" si="29"/>
        <v>0.23602238728110825</v>
      </c>
      <c r="AB27" s="106">
        <f t="shared" si="29"/>
        <v>-0.1279899925781407</v>
      </c>
      <c r="AC27" s="106">
        <f t="shared" si="29"/>
        <v>0.11222147815171901</v>
      </c>
      <c r="AD27" s="106">
        <f t="shared" si="29"/>
        <v>0.17403996829736879</v>
      </c>
      <c r="AE27" s="106">
        <f t="shared" si="29"/>
        <v>4.2466514538896938E-2</v>
      </c>
    </row>
    <row r="28" spans="1:41" hidden="1" outlineLevel="1" x14ac:dyDescent="0.2">
      <c r="B28" s="67"/>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row>
    <row r="29" spans="1:41" hidden="1" outlineLevel="1" x14ac:dyDescent="0.2">
      <c r="B29" s="60" t="s">
        <v>562</v>
      </c>
      <c r="D29" s="115">
        <v>0</v>
      </c>
      <c r="E29" s="115">
        <v>0</v>
      </c>
      <c r="F29" s="115">
        <v>0</v>
      </c>
      <c r="G29" s="115">
        <v>0</v>
      </c>
      <c r="H29" s="115">
        <v>0</v>
      </c>
      <c r="I29" s="115">
        <v>0</v>
      </c>
      <c r="J29" s="115">
        <v>0</v>
      </c>
      <c r="K29" s="115">
        <v>0</v>
      </c>
      <c r="L29" s="115">
        <v>0</v>
      </c>
      <c r="M29" s="115">
        <v>0</v>
      </c>
      <c r="N29" s="115">
        <v>0</v>
      </c>
      <c r="O29" s="115">
        <v>0</v>
      </c>
      <c r="P29" s="115">
        <v>0</v>
      </c>
      <c r="Q29" s="115">
        <v>0</v>
      </c>
      <c r="R29" s="115">
        <v>0</v>
      </c>
      <c r="S29" s="115">
        <v>0</v>
      </c>
      <c r="T29" s="115">
        <v>0</v>
      </c>
      <c r="U29" s="115">
        <v>0</v>
      </c>
      <c r="V29" s="115">
        <v>1067.9970399999984</v>
      </c>
      <c r="W29" s="115">
        <v>2263.3889400000025</v>
      </c>
      <c r="X29" s="115">
        <v>3123.7186600000023</v>
      </c>
      <c r="Y29" s="115">
        <v>3340.4196399999964</v>
      </c>
      <c r="Z29" s="115">
        <v>6684.1130671999981</v>
      </c>
      <c r="AA29" s="115">
        <v>8904.6797304000065</v>
      </c>
      <c r="AB29" s="115">
        <v>7814.5883188000007</v>
      </c>
      <c r="AC29" s="115">
        <v>9415.697892500355</v>
      </c>
      <c r="AD29" s="115">
        <v>9980.6397660503771</v>
      </c>
      <c r="AE29" s="115">
        <v>10978.703742655414</v>
      </c>
      <c r="AG29" s="95">
        <f>+SUM(D29:G29)</f>
        <v>0</v>
      </c>
      <c r="AH29" s="95">
        <f>+SUM(H29:K29)</f>
        <v>0</v>
      </c>
      <c r="AI29" s="95">
        <f>+SUM(L29:O29)</f>
        <v>0</v>
      </c>
      <c r="AJ29" s="95">
        <f>+SUM(P29:S29)</f>
        <v>0</v>
      </c>
      <c r="AK29" s="95">
        <f>+SUM(T29:W29)</f>
        <v>3331.3859800000009</v>
      </c>
      <c r="AL29" s="95">
        <f>+SUM(X29:AA29)</f>
        <v>22052.931097600005</v>
      </c>
      <c r="AM29" s="95">
        <f>+SUM(AB29:AE29)</f>
        <v>38189.629720006153</v>
      </c>
    </row>
    <row r="30" spans="1:41" ht="13.5" hidden="1" outlineLevel="1" x14ac:dyDescent="0.35">
      <c r="B30" s="60" t="s">
        <v>553</v>
      </c>
      <c r="D30" s="285">
        <f>+D24</f>
        <v>0.157329</v>
      </c>
      <c r="E30" s="285">
        <f t="shared" ref="E30:AE30" si="30">+E24</f>
        <v>0.15681600000000001</v>
      </c>
      <c r="F30" s="285">
        <f t="shared" si="30"/>
        <v>0.146984</v>
      </c>
      <c r="G30" s="285">
        <f t="shared" si="30"/>
        <v>0.14460799999999999</v>
      </c>
      <c r="H30" s="285">
        <f t="shared" si="30"/>
        <v>0.1482</v>
      </c>
      <c r="I30" s="285">
        <f t="shared" si="30"/>
        <v>0.14660500000000001</v>
      </c>
      <c r="J30" s="285">
        <f t="shared" si="30"/>
        <v>0.14255200000000001</v>
      </c>
      <c r="K30" s="285">
        <f t="shared" si="30"/>
        <v>0.14199000000000001</v>
      </c>
      <c r="L30" s="285">
        <f t="shared" si="30"/>
        <v>0.14328199999999999</v>
      </c>
      <c r="M30" s="285">
        <f t="shared" si="30"/>
        <v>0.14113700000000001</v>
      </c>
      <c r="N30" s="285">
        <f t="shared" si="30"/>
        <v>0.14454500000000001</v>
      </c>
      <c r="O30" s="285">
        <f t="shared" si="30"/>
        <v>0.15103800000000001</v>
      </c>
      <c r="P30" s="285">
        <f t="shared" si="30"/>
        <v>0.154251</v>
      </c>
      <c r="Q30" s="285">
        <f t="shared" si="30"/>
        <v>0.15483</v>
      </c>
      <c r="R30" s="285">
        <f t="shared" si="30"/>
        <v>0.15454300000000001</v>
      </c>
      <c r="S30" s="285">
        <f t="shared" si="30"/>
        <v>0.156413</v>
      </c>
      <c r="T30" s="285">
        <f t="shared" si="30"/>
        <v>0.157531</v>
      </c>
      <c r="U30" s="285">
        <f t="shared" si="30"/>
        <v>0.15138499999999999</v>
      </c>
      <c r="V30" s="285">
        <f t="shared" si="30"/>
        <v>0.14613499999999999</v>
      </c>
      <c r="W30" s="285">
        <f t="shared" si="30"/>
        <v>0.14072599999999999</v>
      </c>
      <c r="X30" s="285">
        <f t="shared" si="30"/>
        <v>0.146172</v>
      </c>
      <c r="Y30" s="285">
        <f t="shared" si="30"/>
        <v>0.14271</v>
      </c>
      <c r="Z30" s="285">
        <f t="shared" si="30"/>
        <v>0.13806499999999999</v>
      </c>
      <c r="AA30" s="285">
        <f t="shared" si="30"/>
        <v>0.13848299999999999</v>
      </c>
      <c r="AB30" s="285">
        <f t="shared" si="30"/>
        <v>0.139289</v>
      </c>
      <c r="AC30" s="285">
        <f t="shared" si="30"/>
        <v>0.138625</v>
      </c>
      <c r="AD30" s="285">
        <f t="shared" si="30"/>
        <v>0.138625</v>
      </c>
      <c r="AE30" s="285">
        <f t="shared" si="30"/>
        <v>0.138625</v>
      </c>
      <c r="AG30" s="285">
        <f>+AG24</f>
        <v>0.15138699999999999</v>
      </c>
      <c r="AH30" s="285">
        <f>+AH24</f>
        <v>0.144814</v>
      </c>
      <c r="AI30" s="285">
        <f>+AI24</f>
        <v>0.14501600000000001</v>
      </c>
      <c r="AJ30" s="285">
        <f>+AJ24</f>
        <v>0.15501400000000001</v>
      </c>
      <c r="AK30" s="285">
        <f>+AK24</f>
        <v>0.148891</v>
      </c>
      <c r="AL30" s="285">
        <f>+AL31/AL29</f>
        <v>0.14008570157180042</v>
      </c>
      <c r="AM30" s="285">
        <f>+AM31/AM29</f>
        <v>0.1387608716144075</v>
      </c>
    </row>
    <row r="31" spans="1:41" collapsed="1" x14ac:dyDescent="0.2">
      <c r="B31" s="60" t="s">
        <v>563</v>
      </c>
      <c r="D31" s="100">
        <f>+D29*D30</f>
        <v>0</v>
      </c>
      <c r="E31" s="100">
        <f t="shared" ref="E31:AE31" si="31">+E29*E30</f>
        <v>0</v>
      </c>
      <c r="F31" s="100">
        <f t="shared" si="31"/>
        <v>0</v>
      </c>
      <c r="G31" s="100">
        <f t="shared" si="31"/>
        <v>0</v>
      </c>
      <c r="H31" s="144">
        <f t="shared" si="31"/>
        <v>0</v>
      </c>
      <c r="I31" s="144">
        <f t="shared" si="31"/>
        <v>0</v>
      </c>
      <c r="J31" s="144">
        <f t="shared" si="31"/>
        <v>0</v>
      </c>
      <c r="K31" s="144">
        <f t="shared" si="31"/>
        <v>0</v>
      </c>
      <c r="L31" s="144">
        <f t="shared" si="31"/>
        <v>0</v>
      </c>
      <c r="M31" s="144">
        <f t="shared" si="31"/>
        <v>0</v>
      </c>
      <c r="N31" s="144">
        <f t="shared" si="31"/>
        <v>0</v>
      </c>
      <c r="O31" s="144">
        <f t="shared" si="31"/>
        <v>0</v>
      </c>
      <c r="P31" s="144">
        <f t="shared" si="31"/>
        <v>0</v>
      </c>
      <c r="Q31" s="144">
        <f t="shared" si="31"/>
        <v>0</v>
      </c>
      <c r="R31" s="144">
        <f t="shared" si="31"/>
        <v>0</v>
      </c>
      <c r="S31" s="144">
        <f t="shared" si="31"/>
        <v>0</v>
      </c>
      <c r="T31" s="144">
        <f t="shared" si="31"/>
        <v>0</v>
      </c>
      <c r="U31" s="144">
        <f t="shared" si="31"/>
        <v>0</v>
      </c>
      <c r="V31" s="144">
        <f t="shared" si="31"/>
        <v>156.07174744039975</v>
      </c>
      <c r="W31" s="144">
        <f t="shared" si="31"/>
        <v>318.51767197044035</v>
      </c>
      <c r="X31" s="144">
        <f t="shared" si="31"/>
        <v>456.60020396952029</v>
      </c>
      <c r="Y31" s="144">
        <f t="shared" si="31"/>
        <v>476.71128682439951</v>
      </c>
      <c r="Z31" s="144">
        <f t="shared" si="31"/>
        <v>922.84207062296764</v>
      </c>
      <c r="AA31" s="144">
        <f t="shared" si="31"/>
        <v>1233.1467631049841</v>
      </c>
      <c r="AB31" s="144">
        <f t="shared" si="31"/>
        <v>1088.4861923373333</v>
      </c>
      <c r="AC31" s="144">
        <f t="shared" si="31"/>
        <v>1305.2511203478616</v>
      </c>
      <c r="AD31" s="144">
        <f t="shared" si="31"/>
        <v>1383.5661875687335</v>
      </c>
      <c r="AE31" s="144">
        <f t="shared" si="31"/>
        <v>1521.9228063256069</v>
      </c>
      <c r="AG31" s="100">
        <f>+AG29*AG30</f>
        <v>0</v>
      </c>
      <c r="AH31" s="100">
        <f>+AH29*AH30</f>
        <v>0</v>
      </c>
      <c r="AI31" s="100">
        <f>+AI29*AI30</f>
        <v>0</v>
      </c>
      <c r="AJ31" s="100">
        <f>+AJ29*AJ30</f>
        <v>0</v>
      </c>
      <c r="AK31" s="100">
        <f>+AK29*AK30</f>
        <v>496.01338994818013</v>
      </c>
      <c r="AL31" s="95">
        <f>+SUM(X31:AA31)</f>
        <v>3089.3003245218715</v>
      </c>
      <c r="AM31" s="95">
        <f>+SUM(AB31:AE31)</f>
        <v>5299.226306579535</v>
      </c>
    </row>
    <row r="32" spans="1:41" x14ac:dyDescent="0.2">
      <c r="B32" s="101" t="s">
        <v>17</v>
      </c>
      <c r="D32" s="260"/>
      <c r="E32" s="260"/>
      <c r="F32" s="260"/>
      <c r="G32" s="260"/>
      <c r="H32" s="164" t="str">
        <f>IFERROR(H31/D31-1,"n/a")</f>
        <v>n/a</v>
      </c>
      <c r="I32" s="164" t="str">
        <f t="shared" ref="I32:AE32" si="32">IFERROR(I31/E31-1,"n/a")</f>
        <v>n/a</v>
      </c>
      <c r="J32" s="164" t="str">
        <f t="shared" si="32"/>
        <v>n/a</v>
      </c>
      <c r="K32" s="164" t="str">
        <f t="shared" si="32"/>
        <v>n/a</v>
      </c>
      <c r="L32" s="164" t="str">
        <f t="shared" si="32"/>
        <v>n/a</v>
      </c>
      <c r="M32" s="164" t="str">
        <f t="shared" si="32"/>
        <v>n/a</v>
      </c>
      <c r="N32" s="164" t="str">
        <f t="shared" si="32"/>
        <v>n/a</v>
      </c>
      <c r="O32" s="164" t="str">
        <f t="shared" si="32"/>
        <v>n/a</v>
      </c>
      <c r="P32" s="164" t="str">
        <f t="shared" si="32"/>
        <v>n/a</v>
      </c>
      <c r="Q32" s="164" t="str">
        <f t="shared" si="32"/>
        <v>n/a</v>
      </c>
      <c r="R32" s="164" t="str">
        <f t="shared" si="32"/>
        <v>n/a</v>
      </c>
      <c r="S32" s="164" t="str">
        <f t="shared" si="32"/>
        <v>n/a</v>
      </c>
      <c r="T32" s="164" t="str">
        <f t="shared" si="32"/>
        <v>n/a</v>
      </c>
      <c r="U32" s="164" t="str">
        <f t="shared" si="32"/>
        <v>n/a</v>
      </c>
      <c r="V32" s="164" t="str">
        <f t="shared" si="32"/>
        <v>n/a</v>
      </c>
      <c r="W32" s="164" t="str">
        <f t="shared" si="32"/>
        <v>n/a</v>
      </c>
      <c r="X32" s="164" t="str">
        <f t="shared" si="32"/>
        <v>n/a</v>
      </c>
      <c r="Y32" s="164" t="str">
        <f t="shared" si="32"/>
        <v>n/a</v>
      </c>
      <c r="Z32" s="164">
        <f t="shared" si="32"/>
        <v>4.9129348248976328</v>
      </c>
      <c r="AA32" s="164">
        <f t="shared" si="32"/>
        <v>2.8715175691081427</v>
      </c>
      <c r="AB32" s="164">
        <f t="shared" si="32"/>
        <v>1.3838933554440409</v>
      </c>
      <c r="AC32" s="164">
        <f t="shared" si="32"/>
        <v>1.7380327599179783</v>
      </c>
      <c r="AD32" s="164">
        <f t="shared" si="32"/>
        <v>0.49924481296648349</v>
      </c>
      <c r="AE32" s="164">
        <f t="shared" si="32"/>
        <v>0.23417816261667301</v>
      </c>
      <c r="AH32" s="164" t="str">
        <f t="shared" ref="AH32:AM32" si="33">IFERROR(AH31/AG31-1,"n/a")</f>
        <v>n/a</v>
      </c>
      <c r="AI32" s="164" t="str">
        <f t="shared" si="33"/>
        <v>n/a</v>
      </c>
      <c r="AJ32" s="164" t="str">
        <f t="shared" si="33"/>
        <v>n/a</v>
      </c>
      <c r="AK32" s="164" t="str">
        <f t="shared" si="33"/>
        <v>n/a</v>
      </c>
      <c r="AL32" s="164">
        <f t="shared" si="33"/>
        <v>5.2282599363791755</v>
      </c>
      <c r="AM32" s="164">
        <f t="shared" si="33"/>
        <v>0.71534837986322741</v>
      </c>
    </row>
    <row r="33" spans="2:39" x14ac:dyDescent="0.2">
      <c r="B33" s="101" t="s">
        <v>257</v>
      </c>
      <c r="D33" s="260"/>
      <c r="E33" s="164" t="str">
        <f>IFERROR(E31/D31-1,"n/a")</f>
        <v>n/a</v>
      </c>
      <c r="F33" s="164" t="str">
        <f t="shared" ref="F33:AE33" si="34">IFERROR(F31/E31-1,"n/a")</f>
        <v>n/a</v>
      </c>
      <c r="G33" s="164" t="str">
        <f t="shared" si="34"/>
        <v>n/a</v>
      </c>
      <c r="H33" s="164" t="str">
        <f t="shared" si="34"/>
        <v>n/a</v>
      </c>
      <c r="I33" s="164" t="str">
        <f t="shared" si="34"/>
        <v>n/a</v>
      </c>
      <c r="J33" s="164" t="str">
        <f t="shared" si="34"/>
        <v>n/a</v>
      </c>
      <c r="K33" s="164" t="str">
        <f t="shared" si="34"/>
        <v>n/a</v>
      </c>
      <c r="L33" s="164" t="str">
        <f t="shared" si="34"/>
        <v>n/a</v>
      </c>
      <c r="M33" s="164" t="str">
        <f t="shared" si="34"/>
        <v>n/a</v>
      </c>
      <c r="N33" s="164" t="str">
        <f t="shared" si="34"/>
        <v>n/a</v>
      </c>
      <c r="O33" s="164" t="str">
        <f t="shared" si="34"/>
        <v>n/a</v>
      </c>
      <c r="P33" s="164" t="str">
        <f t="shared" si="34"/>
        <v>n/a</v>
      </c>
      <c r="Q33" s="164" t="str">
        <f t="shared" si="34"/>
        <v>n/a</v>
      </c>
      <c r="R33" s="164" t="str">
        <f t="shared" si="34"/>
        <v>n/a</v>
      </c>
      <c r="S33" s="164" t="str">
        <f t="shared" si="34"/>
        <v>n/a</v>
      </c>
      <c r="T33" s="164" t="str">
        <f t="shared" si="34"/>
        <v>n/a</v>
      </c>
      <c r="U33" s="164" t="str">
        <f t="shared" si="34"/>
        <v>n/a</v>
      </c>
      <c r="V33" s="164" t="str">
        <f t="shared" si="34"/>
        <v>n/a</v>
      </c>
      <c r="W33" s="164">
        <f t="shared" si="34"/>
        <v>1.0408413258272451</v>
      </c>
      <c r="X33" s="164">
        <f t="shared" si="34"/>
        <v>0.43351607822844618</v>
      </c>
      <c r="Y33" s="164">
        <f t="shared" si="34"/>
        <v>4.4045277860238707E-2</v>
      </c>
      <c r="Z33" s="164">
        <f t="shared" si="34"/>
        <v>0.93585110344346445</v>
      </c>
      <c r="AA33" s="164">
        <f t="shared" si="34"/>
        <v>0.33624896649168168</v>
      </c>
      <c r="AB33" s="164">
        <f t="shared" si="34"/>
        <v>-0.11731010054586266</v>
      </c>
      <c r="AC33" s="164">
        <f t="shared" si="34"/>
        <v>0.19914347975794144</v>
      </c>
      <c r="AD33" s="164">
        <f t="shared" si="34"/>
        <v>6.0000000000000275E-2</v>
      </c>
      <c r="AE33" s="164">
        <f t="shared" si="34"/>
        <v>0.10000000000000009</v>
      </c>
    </row>
    <row r="34" spans="2:39" x14ac:dyDescent="0.2">
      <c r="B34" s="101"/>
      <c r="D34" s="260"/>
      <c r="E34" s="164"/>
      <c r="F34" s="164"/>
      <c r="G34" s="164"/>
      <c r="H34" s="164"/>
      <c r="I34" s="164"/>
      <c r="J34" s="164"/>
      <c r="K34" s="164"/>
      <c r="L34" s="164"/>
      <c r="M34" s="164"/>
      <c r="N34" s="164"/>
      <c r="O34" s="164"/>
      <c r="P34" s="164"/>
      <c r="Q34" s="164"/>
      <c r="R34" s="164"/>
      <c r="S34" s="164"/>
      <c r="T34" s="164"/>
      <c r="U34" s="164"/>
      <c r="V34" s="164"/>
      <c r="W34" s="164"/>
      <c r="X34" s="164"/>
      <c r="Y34" s="164"/>
      <c r="Z34" s="164"/>
      <c r="AA34" s="164"/>
      <c r="AB34" s="164"/>
      <c r="AC34" s="164"/>
      <c r="AD34" s="164"/>
      <c r="AE34" s="164"/>
    </row>
    <row r="35" spans="2:39" x14ac:dyDescent="0.2">
      <c r="B35" s="60" t="s">
        <v>555</v>
      </c>
      <c r="D35" s="203">
        <f>+D12</f>
        <v>395</v>
      </c>
      <c r="E35" s="203">
        <f t="shared" ref="E35:O35" si="35">+E12</f>
        <v>475</v>
      </c>
      <c r="F35" s="203">
        <f t="shared" si="35"/>
        <v>601</v>
      </c>
      <c r="G35" s="203">
        <f t="shared" si="35"/>
        <v>737</v>
      </c>
      <c r="H35" s="203">
        <f t="shared" si="35"/>
        <v>667</v>
      </c>
      <c r="I35" s="203">
        <f t="shared" si="35"/>
        <v>643</v>
      </c>
      <c r="J35" s="203">
        <f t="shared" si="35"/>
        <v>715</v>
      </c>
      <c r="K35" s="203">
        <f t="shared" si="35"/>
        <v>841</v>
      </c>
      <c r="L35" s="203">
        <f t="shared" si="35"/>
        <v>735</v>
      </c>
      <c r="M35" s="203">
        <f t="shared" si="35"/>
        <v>1299</v>
      </c>
      <c r="N35" s="203">
        <f t="shared" si="35"/>
        <v>1109</v>
      </c>
      <c r="O35" s="203">
        <f t="shared" si="35"/>
        <v>1252</v>
      </c>
      <c r="P35" s="203">
        <f>+P17</f>
        <v>1966.9778030734208</v>
      </c>
      <c r="Q35" s="203">
        <f t="shared" ref="Q35:AB35" si="36">+Q17</f>
        <v>2195.9305634604439</v>
      </c>
      <c r="R35" s="203">
        <f t="shared" si="36"/>
        <v>1719.3056346044393</v>
      </c>
      <c r="S35" s="203">
        <f t="shared" si="36"/>
        <v>1707.785998861696</v>
      </c>
      <c r="T35" s="203">
        <f t="shared" si="36"/>
        <v>1714.6538545533958</v>
      </c>
      <c r="U35" s="203">
        <f t="shared" si="36"/>
        <v>1818.0825507752784</v>
      </c>
      <c r="V35" s="203">
        <f t="shared" si="36"/>
        <v>1745.3592487442672</v>
      </c>
      <c r="W35" s="203">
        <f t="shared" si="36"/>
        <v>2121.9043459270583</v>
      </c>
      <c r="X35" s="203">
        <f t="shared" si="36"/>
        <v>1978.3400475157523</v>
      </c>
      <c r="Y35" s="203">
        <f t="shared" si="36"/>
        <v>2992.2569982439832</v>
      </c>
      <c r="Z35" s="203">
        <f t="shared" si="36"/>
        <v>4187.180043383948</v>
      </c>
      <c r="AA35" s="203">
        <f t="shared" si="36"/>
        <v>4532.222910856316</v>
      </c>
      <c r="AB35" s="203">
        <f t="shared" si="36"/>
        <v>4205.5634748476396</v>
      </c>
      <c r="AC35" s="203">
        <f>+AC37-AC36</f>
        <v>4272.3427566680002</v>
      </c>
      <c r="AD35" s="203">
        <f>+AD37-AD36</f>
        <v>5161.8318593682816</v>
      </c>
      <c r="AE35" s="203">
        <f>+AE37-AE36</f>
        <v>5831.0137948300562</v>
      </c>
      <c r="AG35" s="95">
        <f>+SUM(D35:G35)</f>
        <v>2208</v>
      </c>
      <c r="AH35" s="95">
        <f>+SUM(H35:K35)</f>
        <v>2866</v>
      </c>
      <c r="AI35" s="95">
        <f>+SUM(L35:O35)</f>
        <v>4395</v>
      </c>
      <c r="AJ35" s="95">
        <f>+SUM(P35:S35)</f>
        <v>7590</v>
      </c>
      <c r="AK35" s="95">
        <f>+SUM(T35:W35)</f>
        <v>7400</v>
      </c>
      <c r="AL35" s="95">
        <f>+SUM(X35:AA35)</f>
        <v>13690</v>
      </c>
      <c r="AM35" s="95">
        <f>+SUM(AB35:AE35)</f>
        <v>19470.75188571398</v>
      </c>
    </row>
    <row r="36" spans="2:39" ht="13.5" x14ac:dyDescent="0.35">
      <c r="B36" s="60" t="s">
        <v>556</v>
      </c>
      <c r="D36" s="103">
        <f>+-D31*0.75</f>
        <v>0</v>
      </c>
      <c r="E36" s="103">
        <f t="shared" ref="E36:AE36" si="37">+-E31*0.75</f>
        <v>0</v>
      </c>
      <c r="F36" s="103">
        <f t="shared" si="37"/>
        <v>0</v>
      </c>
      <c r="G36" s="103">
        <f t="shared" si="37"/>
        <v>0</v>
      </c>
      <c r="H36" s="103">
        <f t="shared" si="37"/>
        <v>0</v>
      </c>
      <c r="I36" s="103">
        <f t="shared" si="37"/>
        <v>0</v>
      </c>
      <c r="J36" s="103">
        <f t="shared" si="37"/>
        <v>0</v>
      </c>
      <c r="K36" s="103">
        <f t="shared" si="37"/>
        <v>0</v>
      </c>
      <c r="L36" s="103">
        <f t="shared" si="37"/>
        <v>0</v>
      </c>
      <c r="M36" s="103">
        <f t="shared" si="37"/>
        <v>0</v>
      </c>
      <c r="N36" s="103">
        <f t="shared" si="37"/>
        <v>0</v>
      </c>
      <c r="O36" s="103">
        <f t="shared" si="37"/>
        <v>0</v>
      </c>
      <c r="P36" s="103">
        <f t="shared" si="37"/>
        <v>0</v>
      </c>
      <c r="Q36" s="103">
        <f t="shared" si="37"/>
        <v>0</v>
      </c>
      <c r="R36" s="103">
        <f t="shared" si="37"/>
        <v>0</v>
      </c>
      <c r="S36" s="103">
        <f t="shared" si="37"/>
        <v>0</v>
      </c>
      <c r="T36" s="103">
        <f t="shared" si="37"/>
        <v>0</v>
      </c>
      <c r="U36" s="103">
        <f t="shared" si="37"/>
        <v>0</v>
      </c>
      <c r="V36" s="103">
        <f t="shared" si="37"/>
        <v>-117.05381058029981</v>
      </c>
      <c r="W36" s="103">
        <f t="shared" si="37"/>
        <v>-238.88825397783026</v>
      </c>
      <c r="X36" s="103">
        <f t="shared" si="37"/>
        <v>-342.45015297714019</v>
      </c>
      <c r="Y36" s="103">
        <f t="shared" si="37"/>
        <v>-357.53346511829966</v>
      </c>
      <c r="Z36" s="103">
        <f t="shared" si="37"/>
        <v>-692.13155296722573</v>
      </c>
      <c r="AA36" s="103">
        <f t="shared" si="37"/>
        <v>-924.86007232873806</v>
      </c>
      <c r="AB36" s="103">
        <f t="shared" si="37"/>
        <v>-816.36464425299994</v>
      </c>
      <c r="AC36" s="103">
        <f t="shared" si="37"/>
        <v>-978.93834026089621</v>
      </c>
      <c r="AD36" s="103">
        <f t="shared" si="37"/>
        <v>-1037.6746406765501</v>
      </c>
      <c r="AE36" s="103">
        <f t="shared" si="37"/>
        <v>-1141.4421047442052</v>
      </c>
      <c r="AG36" s="77">
        <f>+SUM(D36:G36)</f>
        <v>0</v>
      </c>
      <c r="AH36" s="77">
        <f>+SUM(H36:K36)</f>
        <v>0</v>
      </c>
      <c r="AI36" s="77">
        <f>+SUM(L36:O36)</f>
        <v>0</v>
      </c>
      <c r="AJ36" s="77">
        <f>+SUM(P36:S36)</f>
        <v>0</v>
      </c>
      <c r="AK36" s="77">
        <f>+SUM(T36:W36)</f>
        <v>-355.94206455813008</v>
      </c>
      <c r="AL36" s="77">
        <f>+SUM(X36:AA36)</f>
        <v>-2316.9752433914036</v>
      </c>
      <c r="AM36" s="77">
        <f>+SUM(AB36:AE36)</f>
        <v>-3974.4197299346515</v>
      </c>
    </row>
    <row r="37" spans="2:39" x14ac:dyDescent="0.2">
      <c r="B37" s="101" t="s">
        <v>557</v>
      </c>
      <c r="D37" s="203">
        <f>+SUM(D35:D36)</f>
        <v>395</v>
      </c>
      <c r="E37" s="203">
        <f t="shared" ref="E37:AB37" si="38">+SUM(E35:E36)</f>
        <v>475</v>
      </c>
      <c r="F37" s="203">
        <f t="shared" si="38"/>
        <v>601</v>
      </c>
      <c r="G37" s="203">
        <f t="shared" si="38"/>
        <v>737</v>
      </c>
      <c r="H37" s="203">
        <f t="shared" si="38"/>
        <v>667</v>
      </c>
      <c r="I37" s="203">
        <f t="shared" si="38"/>
        <v>643</v>
      </c>
      <c r="J37" s="203">
        <f t="shared" si="38"/>
        <v>715</v>
      </c>
      <c r="K37" s="203">
        <f t="shared" si="38"/>
        <v>841</v>
      </c>
      <c r="L37" s="203">
        <f t="shared" si="38"/>
        <v>735</v>
      </c>
      <c r="M37" s="203">
        <f t="shared" si="38"/>
        <v>1299</v>
      </c>
      <c r="N37" s="203">
        <f t="shared" si="38"/>
        <v>1109</v>
      </c>
      <c r="O37" s="203">
        <f t="shared" si="38"/>
        <v>1252</v>
      </c>
      <c r="P37" s="203">
        <f t="shared" si="38"/>
        <v>1966.9778030734208</v>
      </c>
      <c r="Q37" s="203">
        <f t="shared" si="38"/>
        <v>2195.9305634604439</v>
      </c>
      <c r="R37" s="203">
        <f t="shared" si="38"/>
        <v>1719.3056346044393</v>
      </c>
      <c r="S37" s="203">
        <f t="shared" si="38"/>
        <v>1707.785998861696</v>
      </c>
      <c r="T37" s="203">
        <f t="shared" si="38"/>
        <v>1714.6538545533958</v>
      </c>
      <c r="U37" s="203">
        <f t="shared" si="38"/>
        <v>1818.0825507752784</v>
      </c>
      <c r="V37" s="203">
        <f t="shared" si="38"/>
        <v>1628.3054381639674</v>
      </c>
      <c r="W37" s="203">
        <f t="shared" si="38"/>
        <v>1883.016091949228</v>
      </c>
      <c r="X37" s="203">
        <f t="shared" si="38"/>
        <v>1635.8898945386122</v>
      </c>
      <c r="Y37" s="203">
        <f t="shared" si="38"/>
        <v>2634.7235331256834</v>
      </c>
      <c r="Z37" s="203">
        <f t="shared" si="38"/>
        <v>3495.0484904167224</v>
      </c>
      <c r="AA37" s="203">
        <f t="shared" si="38"/>
        <v>3607.3628385275779</v>
      </c>
      <c r="AB37" s="203">
        <f t="shared" si="38"/>
        <v>3389.1988305946397</v>
      </c>
      <c r="AC37" s="203">
        <f>+Y37*(1+AC38)</f>
        <v>3293.4044164071042</v>
      </c>
      <c r="AD37" s="203">
        <f>+Z37*(1+AD38)</f>
        <v>4124.1572186917319</v>
      </c>
      <c r="AE37" s="203">
        <f>+AA37*(1+AE38)</f>
        <v>4689.5716900858515</v>
      </c>
      <c r="AG37" s="95">
        <f>+SUM(D37:G37)</f>
        <v>2208</v>
      </c>
      <c r="AH37" s="95">
        <f>+SUM(H37:K37)</f>
        <v>2866</v>
      </c>
      <c r="AI37" s="95">
        <f>+SUM(L37:O37)</f>
        <v>4395</v>
      </c>
      <c r="AJ37" s="95">
        <f>+SUM(P37:S37)</f>
        <v>7590</v>
      </c>
      <c r="AK37" s="95">
        <f>+SUM(T37:W37)</f>
        <v>7044.0579354418696</v>
      </c>
      <c r="AL37" s="95">
        <f>+SUM(X37:AA37)</f>
        <v>11373.024756608596</v>
      </c>
      <c r="AM37" s="95">
        <f>+SUM(AB37:AE37)</f>
        <v>15496.332155779326</v>
      </c>
    </row>
    <row r="38" spans="2:39" x14ac:dyDescent="0.2">
      <c r="B38" s="67" t="s">
        <v>17</v>
      </c>
      <c r="D38" s="260"/>
      <c r="E38" s="260"/>
      <c r="F38" s="260"/>
      <c r="G38" s="260"/>
      <c r="H38" s="164">
        <f>IFERROR(H37/D37-1,"n/a")</f>
        <v>0.68860759493670876</v>
      </c>
      <c r="I38" s="164">
        <f t="shared" ref="I38:O38" si="39">IFERROR(I37/E37-1,"n/a")</f>
        <v>0.35368421052631582</v>
      </c>
      <c r="J38" s="164">
        <f t="shared" si="39"/>
        <v>0.18968386023294515</v>
      </c>
      <c r="K38" s="164">
        <f t="shared" si="39"/>
        <v>0.14111261872455905</v>
      </c>
      <c r="L38" s="164">
        <f t="shared" si="39"/>
        <v>0.10194902548725637</v>
      </c>
      <c r="M38" s="164">
        <f t="shared" si="39"/>
        <v>1.020217729393468</v>
      </c>
      <c r="N38" s="164">
        <f t="shared" si="39"/>
        <v>0.55104895104895113</v>
      </c>
      <c r="O38" s="164">
        <f t="shared" si="39"/>
        <v>0.48870392390011896</v>
      </c>
      <c r="P38" s="164"/>
      <c r="Q38" s="164"/>
      <c r="R38" s="164"/>
      <c r="S38" s="164"/>
      <c r="T38" s="164">
        <f t="shared" ref="T38:AB38" si="40">IFERROR(T37/P37-1,"n/a")</f>
        <v>-0.12828001827258373</v>
      </c>
      <c r="U38" s="164">
        <f t="shared" si="40"/>
        <v>-0.1720673772533754</v>
      </c>
      <c r="V38" s="164">
        <f t="shared" si="40"/>
        <v>-5.2928458215288909E-2</v>
      </c>
      <c r="W38" s="164">
        <f t="shared" si="40"/>
        <v>0.1026065872447306</v>
      </c>
      <c r="X38" s="164">
        <f t="shared" si="40"/>
        <v>-4.593577870286758E-2</v>
      </c>
      <c r="Y38" s="164">
        <f t="shared" si="40"/>
        <v>0.44917706404594648</v>
      </c>
      <c r="Z38" s="164">
        <f t="shared" si="40"/>
        <v>1.1464329778064508</v>
      </c>
      <c r="AA38" s="164">
        <f t="shared" si="40"/>
        <v>0.91573659617182046</v>
      </c>
      <c r="AB38" s="164">
        <f t="shared" si="40"/>
        <v>1.0717768609668759</v>
      </c>
      <c r="AC38" s="286">
        <v>0.25</v>
      </c>
      <c r="AD38" s="286">
        <v>0.18</v>
      </c>
      <c r="AE38" s="286">
        <v>0.3</v>
      </c>
      <c r="AH38" s="164">
        <f>IFERROR(AH37/AG37-1,"n/a")</f>
        <v>0.29800724637681153</v>
      </c>
      <c r="AI38" s="164">
        <f>IFERROR(AI37/AH37-1,"n/a")</f>
        <v>0.53349616189811577</v>
      </c>
      <c r="AJ38" s="164"/>
      <c r="AK38" s="164">
        <f>IFERROR(AK37/AJ37-1,"n/a")</f>
        <v>-7.1929125765234581E-2</v>
      </c>
      <c r="AL38" s="164">
        <f>IFERROR(AL37/AK37-1,"n/a")</f>
        <v>0.61455582291362476</v>
      </c>
      <c r="AM38" s="164">
        <f>IFERROR(AM37/AL37-1,"n/a")</f>
        <v>0.36255151882745817</v>
      </c>
    </row>
    <row r="39" spans="2:39" x14ac:dyDescent="0.2">
      <c r="B39" s="67" t="s">
        <v>257</v>
      </c>
      <c r="D39" s="260"/>
      <c r="E39" s="164">
        <f>IFERROR(E37/D37-1,"n/a")</f>
        <v>0.20253164556962022</v>
      </c>
      <c r="F39" s="164">
        <f t="shared" ref="F39:O39" si="41">IFERROR(F37/E37-1,"n/a")</f>
        <v>0.26526315789473687</v>
      </c>
      <c r="G39" s="164">
        <f t="shared" si="41"/>
        <v>0.22628951747088188</v>
      </c>
      <c r="H39" s="164">
        <f t="shared" si="41"/>
        <v>-9.49796472184532E-2</v>
      </c>
      <c r="I39" s="164">
        <f t="shared" si="41"/>
        <v>-3.5982008995502301E-2</v>
      </c>
      <c r="J39" s="164">
        <f t="shared" si="41"/>
        <v>0.11197511664074655</v>
      </c>
      <c r="K39" s="164">
        <f t="shared" si="41"/>
        <v>0.17622377622377616</v>
      </c>
      <c r="L39" s="164">
        <f t="shared" si="41"/>
        <v>-0.12604042806183113</v>
      </c>
      <c r="M39" s="164">
        <f t="shared" si="41"/>
        <v>0.7673469387755103</v>
      </c>
      <c r="N39" s="164">
        <f t="shared" si="41"/>
        <v>-0.14626635873749039</v>
      </c>
      <c r="O39" s="164">
        <f t="shared" si="41"/>
        <v>0.12894499549143368</v>
      </c>
      <c r="P39" s="164"/>
      <c r="Q39" s="164">
        <f t="shared" ref="Q39:AE39" si="42">IFERROR(Q37/P37-1,"n/a")</f>
        <v>0.11639824304538782</v>
      </c>
      <c r="R39" s="164">
        <f t="shared" si="42"/>
        <v>-0.21704918032786891</v>
      </c>
      <c r="S39" s="164">
        <f t="shared" si="42"/>
        <v>-6.7001675041875597E-3</v>
      </c>
      <c r="T39" s="164">
        <f t="shared" si="42"/>
        <v>4.0214966607510227E-3</v>
      </c>
      <c r="U39" s="164">
        <f t="shared" si="42"/>
        <v>6.0320452403393121E-2</v>
      </c>
      <c r="V39" s="164">
        <f t="shared" si="42"/>
        <v>-0.10438311094861175</v>
      </c>
      <c r="W39" s="164">
        <f t="shared" si="42"/>
        <v>0.1564268274338414</v>
      </c>
      <c r="X39" s="164">
        <f t="shared" si="42"/>
        <v>-0.1312395568297029</v>
      </c>
      <c r="Y39" s="164">
        <f t="shared" si="42"/>
        <v>0.6105751016139036</v>
      </c>
      <c r="Z39" s="164">
        <f t="shared" si="42"/>
        <v>0.32653329522980323</v>
      </c>
      <c r="AA39" s="164">
        <f t="shared" si="42"/>
        <v>3.2135276068076424E-2</v>
      </c>
      <c r="AB39" s="164">
        <f t="shared" si="42"/>
        <v>-6.0477422898215116E-2</v>
      </c>
      <c r="AC39" s="164">
        <f t="shared" si="42"/>
        <v>-2.8264619155060955E-2</v>
      </c>
      <c r="AD39" s="164">
        <f t="shared" si="42"/>
        <v>0.25224743069693401</v>
      </c>
      <c r="AE39" s="164">
        <f t="shared" si="42"/>
        <v>0.13709818549872854</v>
      </c>
    </row>
    <row r="40" spans="2:39" x14ac:dyDescent="0.2">
      <c r="B40" s="67" t="s">
        <v>558</v>
      </c>
      <c r="D40" s="260"/>
      <c r="E40" s="164"/>
      <c r="F40" s="164"/>
      <c r="G40" s="164"/>
      <c r="H40" s="164"/>
      <c r="I40" s="164"/>
      <c r="J40" s="164"/>
      <c r="K40" s="164"/>
      <c r="L40" s="164"/>
      <c r="M40" s="164"/>
      <c r="N40" s="164"/>
      <c r="O40" s="164"/>
      <c r="P40" s="164">
        <f>+IFERROR(P37/P17,"n/a")</f>
        <v>1</v>
      </c>
      <c r="Q40" s="164">
        <f t="shared" ref="Q40:AE40" si="43">+IFERROR(Q37/Q17,"n/a")</f>
        <v>1</v>
      </c>
      <c r="R40" s="164">
        <f t="shared" si="43"/>
        <v>1</v>
      </c>
      <c r="S40" s="164">
        <f t="shared" si="43"/>
        <v>1</v>
      </c>
      <c r="T40" s="164">
        <f t="shared" si="43"/>
        <v>1</v>
      </c>
      <c r="U40" s="164">
        <f t="shared" si="43"/>
        <v>1</v>
      </c>
      <c r="V40" s="164">
        <f t="shared" si="43"/>
        <v>0.93293425942852948</v>
      </c>
      <c r="W40" s="164">
        <f t="shared" si="43"/>
        <v>0.88741799109070574</v>
      </c>
      <c r="X40" s="164">
        <f t="shared" si="43"/>
        <v>0.82690025741168072</v>
      </c>
      <c r="Y40" s="164">
        <f t="shared" si="43"/>
        <v>0.88051378430124161</v>
      </c>
      <c r="Z40" s="164">
        <f t="shared" si="43"/>
        <v>0.83470222302457608</v>
      </c>
      <c r="AA40" s="164">
        <f t="shared" si="43"/>
        <v>0.79593676425019533</v>
      </c>
      <c r="AB40" s="164">
        <f>+IFERROR(AB37/AB17,"n/a")</f>
        <v>0.80588459807218216</v>
      </c>
      <c r="AC40" s="164">
        <f t="shared" si="43"/>
        <v>0.71748581622821461</v>
      </c>
      <c r="AD40" s="164">
        <f t="shared" si="43"/>
        <v>0.90897081913773048</v>
      </c>
      <c r="AE40" s="164">
        <f t="shared" si="43"/>
        <v>0.80424637208777661</v>
      </c>
      <c r="AJ40" s="164">
        <f>+IFERROR(AJ37/AJ17,"n/a")</f>
        <v>1</v>
      </c>
      <c r="AK40" s="164">
        <f>+IFERROR(AK37/AK17,"n/a")</f>
        <v>0.95189972100565801</v>
      </c>
      <c r="AL40" s="164">
        <f>+IFERROR(AL37/AL17,"n/a")</f>
        <v>0.83075418236731891</v>
      </c>
      <c r="AM40" s="164">
        <f>+IFERROR(AM37/AM17,"n/a")</f>
        <v>0.80861885749618745</v>
      </c>
    </row>
    <row r="41" spans="2:39" x14ac:dyDescent="0.2">
      <c r="B41" s="101"/>
    </row>
    <row r="42" spans="2:39" x14ac:dyDescent="0.2">
      <c r="B42" t="s">
        <v>248</v>
      </c>
      <c r="D42" s="81">
        <v>11966</v>
      </c>
      <c r="E42" s="81">
        <v>13231</v>
      </c>
      <c r="F42" s="81">
        <v>13727</v>
      </c>
      <c r="G42" s="81">
        <v>16914</v>
      </c>
      <c r="H42" s="81">
        <v>15077</v>
      </c>
      <c r="I42" s="81">
        <v>16886</v>
      </c>
      <c r="J42" s="81">
        <v>17652</v>
      </c>
      <c r="K42" s="81">
        <v>21082</v>
      </c>
      <c r="L42" s="81">
        <v>17737</v>
      </c>
      <c r="M42" s="81">
        <v>18687</v>
      </c>
      <c r="N42" s="81">
        <v>21470</v>
      </c>
      <c r="O42" s="81">
        <v>28072</v>
      </c>
      <c r="P42" s="81">
        <v>26171</v>
      </c>
      <c r="Q42" s="81">
        <v>29077</v>
      </c>
      <c r="R42" s="81">
        <v>29010</v>
      </c>
      <c r="S42" s="81">
        <v>33671</v>
      </c>
      <c r="T42" s="81">
        <v>27908</v>
      </c>
      <c r="U42" s="81">
        <v>28822</v>
      </c>
      <c r="V42" s="81">
        <v>27714</v>
      </c>
      <c r="W42" s="81">
        <v>32165</v>
      </c>
      <c r="X42" s="81">
        <v>28645</v>
      </c>
      <c r="Y42" s="81">
        <v>31999</v>
      </c>
      <c r="Z42" s="81">
        <v>34146</v>
      </c>
      <c r="AA42" s="81">
        <v>40111</v>
      </c>
      <c r="AB42" s="81">
        <v>36455</v>
      </c>
      <c r="AC42" s="81">
        <v>39071</v>
      </c>
      <c r="AD42" s="81">
        <v>40589</v>
      </c>
      <c r="AE42" s="196">
        <f>+'Historical Financials'!BK9</f>
        <v>46846.485498996532</v>
      </c>
      <c r="AG42" s="64">
        <f>+SUM(D42:G42)</f>
        <v>55838</v>
      </c>
      <c r="AH42" s="64">
        <f>+SUM(H42:K42)</f>
        <v>70697</v>
      </c>
      <c r="AI42" s="64">
        <f>+SUM(L42:O42)</f>
        <v>85966</v>
      </c>
      <c r="AJ42" s="64">
        <f>+SUM(P42:S42)</f>
        <v>117929</v>
      </c>
      <c r="AK42" s="64">
        <f>+SUM(T42:W42)</f>
        <v>116609</v>
      </c>
      <c r="AL42" s="64">
        <f>+SUM(X42:AA42)</f>
        <v>134901</v>
      </c>
      <c r="AM42" s="64">
        <f>+SUM(AB42:AE42)</f>
        <v>162961.48549899654</v>
      </c>
    </row>
    <row r="43" spans="2:39" ht="13.5" x14ac:dyDescent="0.35">
      <c r="B43" t="s">
        <v>559</v>
      </c>
      <c r="D43" s="65">
        <f t="shared" ref="D43:O43" si="44">-D12</f>
        <v>-395</v>
      </c>
      <c r="E43" s="65">
        <f t="shared" si="44"/>
        <v>-475</v>
      </c>
      <c r="F43" s="65">
        <f t="shared" si="44"/>
        <v>-601</v>
      </c>
      <c r="G43" s="65">
        <f t="shared" si="44"/>
        <v>-737</v>
      </c>
      <c r="H43" s="65">
        <f t="shared" si="44"/>
        <v>-667</v>
      </c>
      <c r="I43" s="65">
        <f t="shared" si="44"/>
        <v>-643</v>
      </c>
      <c r="J43" s="65">
        <f t="shared" si="44"/>
        <v>-715</v>
      </c>
      <c r="K43" s="65">
        <f t="shared" si="44"/>
        <v>-841</v>
      </c>
      <c r="L43" s="65">
        <f t="shared" si="44"/>
        <v>-735</v>
      </c>
      <c r="M43" s="65">
        <f t="shared" si="44"/>
        <v>-1299</v>
      </c>
      <c r="N43" s="65">
        <f t="shared" si="44"/>
        <v>-1109</v>
      </c>
      <c r="O43" s="65">
        <f t="shared" si="44"/>
        <v>-1252</v>
      </c>
      <c r="P43" s="65">
        <f>-P17</f>
        <v>-1966.9778030734208</v>
      </c>
      <c r="Q43" s="65">
        <f t="shared" ref="Q43:AE43" si="45">-Q17</f>
        <v>-2195.9305634604439</v>
      </c>
      <c r="R43" s="65">
        <f t="shared" si="45"/>
        <v>-1719.3056346044393</v>
      </c>
      <c r="S43" s="65">
        <f t="shared" si="45"/>
        <v>-1707.785998861696</v>
      </c>
      <c r="T43" s="65">
        <f t="shared" si="45"/>
        <v>-1714.6538545533958</v>
      </c>
      <c r="U43" s="65">
        <f t="shared" si="45"/>
        <v>-1818.0825507752784</v>
      </c>
      <c r="V43" s="65">
        <f t="shared" si="45"/>
        <v>-1745.3592487442672</v>
      </c>
      <c r="W43" s="65">
        <f t="shared" si="45"/>
        <v>-2121.9043459270583</v>
      </c>
      <c r="X43" s="65">
        <f t="shared" si="45"/>
        <v>-1978.3400475157523</v>
      </c>
      <c r="Y43" s="65">
        <f t="shared" si="45"/>
        <v>-2992.2569982439832</v>
      </c>
      <c r="Z43" s="65">
        <f t="shared" si="45"/>
        <v>-4187.180043383948</v>
      </c>
      <c r="AA43" s="65">
        <f t="shared" si="45"/>
        <v>-4532.222910856316</v>
      </c>
      <c r="AB43" s="65">
        <f t="shared" si="45"/>
        <v>-4205.5634748476396</v>
      </c>
      <c r="AC43" s="65">
        <f t="shared" ref="AC43:AD43" si="46">-AC17</f>
        <v>-4590.2014254725746</v>
      </c>
      <c r="AD43" s="65">
        <f t="shared" si="46"/>
        <v>-4537.1722962503873</v>
      </c>
      <c r="AE43" s="65">
        <f t="shared" si="45"/>
        <v>-5831.0137948300562</v>
      </c>
      <c r="AG43" s="65">
        <f>+SUM(D43:G43)</f>
        <v>-2208</v>
      </c>
      <c r="AH43" s="65">
        <f>+SUM(H43:K43)</f>
        <v>-2866</v>
      </c>
      <c r="AI43" s="65">
        <f>+SUM(L43:O43)</f>
        <v>-4395</v>
      </c>
      <c r="AJ43" s="65">
        <f>+SUM(P43:S43)</f>
        <v>-7590</v>
      </c>
      <c r="AK43" s="65">
        <f>+SUM(T43:W43)</f>
        <v>-7400</v>
      </c>
      <c r="AL43" s="65">
        <f>+SUM(X43:AA43)</f>
        <v>-13690</v>
      </c>
      <c r="AM43" s="65">
        <f>+SUM(AB43:AE43)</f>
        <v>-19163.950991400656</v>
      </c>
    </row>
    <row r="44" spans="2:39" s="44" customFormat="1" x14ac:dyDescent="0.2">
      <c r="B44" s="110" t="s">
        <v>560</v>
      </c>
      <c r="D44" s="111">
        <f>SUM(D42:D43)</f>
        <v>11571</v>
      </c>
      <c r="E44" s="111">
        <f t="shared" ref="E44:AE44" si="47">SUM(E42:E43)</f>
        <v>12756</v>
      </c>
      <c r="F44" s="111">
        <f t="shared" si="47"/>
        <v>13126</v>
      </c>
      <c r="G44" s="111">
        <f t="shared" si="47"/>
        <v>16177</v>
      </c>
      <c r="H44" s="111">
        <f t="shared" si="47"/>
        <v>14410</v>
      </c>
      <c r="I44" s="111">
        <f t="shared" si="47"/>
        <v>16243</v>
      </c>
      <c r="J44" s="111">
        <f t="shared" si="47"/>
        <v>16937</v>
      </c>
      <c r="K44" s="111">
        <f t="shared" si="47"/>
        <v>20241</v>
      </c>
      <c r="L44" s="111">
        <f t="shared" si="47"/>
        <v>17002</v>
      </c>
      <c r="M44" s="111">
        <f t="shared" si="47"/>
        <v>17388</v>
      </c>
      <c r="N44" s="111">
        <f t="shared" si="47"/>
        <v>20361</v>
      </c>
      <c r="O44" s="111">
        <f t="shared" si="47"/>
        <v>26820</v>
      </c>
      <c r="P44" s="111">
        <f t="shared" si="47"/>
        <v>24204.02219692658</v>
      </c>
      <c r="Q44" s="111">
        <f t="shared" si="47"/>
        <v>26881.069436539558</v>
      </c>
      <c r="R44" s="111">
        <f t="shared" si="47"/>
        <v>27290.69436539556</v>
      </c>
      <c r="S44" s="111">
        <f t="shared" si="47"/>
        <v>31963.214001138305</v>
      </c>
      <c r="T44" s="111">
        <f t="shared" si="47"/>
        <v>26193.346145446605</v>
      </c>
      <c r="U44" s="111">
        <f t="shared" si="47"/>
        <v>27003.917449224722</v>
      </c>
      <c r="V44" s="111">
        <f t="shared" si="47"/>
        <v>25968.640751255734</v>
      </c>
      <c r="W44" s="111">
        <f t="shared" si="47"/>
        <v>30043.095654072942</v>
      </c>
      <c r="X44" s="111">
        <f t="shared" si="47"/>
        <v>26666.659952484246</v>
      </c>
      <c r="Y44" s="111">
        <f t="shared" si="47"/>
        <v>29006.743001756018</v>
      </c>
      <c r="Z44" s="111">
        <f t="shared" si="47"/>
        <v>29958.819956616051</v>
      </c>
      <c r="AA44" s="111">
        <f t="shared" si="47"/>
        <v>35578.777089143681</v>
      </c>
      <c r="AB44" s="111">
        <f t="shared" si="47"/>
        <v>32249.43652515236</v>
      </c>
      <c r="AC44" s="111">
        <f t="shared" ref="AC44:AD44" si="48">SUM(AC42:AC43)</f>
        <v>34480.798574527427</v>
      </c>
      <c r="AD44" s="111">
        <f t="shared" si="48"/>
        <v>36051.827703749615</v>
      </c>
      <c r="AE44" s="111">
        <f t="shared" si="47"/>
        <v>41015.471704166477</v>
      </c>
      <c r="AG44" s="111">
        <f>+SUM(D44:G44)</f>
        <v>53630</v>
      </c>
      <c r="AH44" s="111">
        <f>+SUM(H44:K44)</f>
        <v>67831</v>
      </c>
      <c r="AI44" s="111">
        <f>+SUM(L44:O44)</f>
        <v>81571</v>
      </c>
      <c r="AJ44" s="111">
        <f>+SUM(P44:S44)</f>
        <v>110339</v>
      </c>
      <c r="AK44" s="111">
        <f>+SUM(T44:W44)</f>
        <v>109209</v>
      </c>
      <c r="AL44" s="111">
        <f>+SUM(X44:AA44)</f>
        <v>121211</v>
      </c>
      <c r="AM44" s="111">
        <f>+SUM(AB44:AE44)</f>
        <v>143797.53450759588</v>
      </c>
    </row>
    <row r="45" spans="2:39" x14ac:dyDescent="0.2">
      <c r="B45" s="101" t="s">
        <v>17</v>
      </c>
      <c r="H45" s="106">
        <f>IFERROR(H44/D44-1,"n/a")</f>
        <v>0.24535476622590968</v>
      </c>
      <c r="I45" s="106">
        <f t="shared" ref="I45:O45" si="49">IFERROR(I44/E44-1,"n/a")</f>
        <v>0.27336155534650364</v>
      </c>
      <c r="J45" s="106">
        <f t="shared" si="49"/>
        <v>0.29033978363553259</v>
      </c>
      <c r="K45" s="106">
        <f t="shared" si="49"/>
        <v>0.25122086913519204</v>
      </c>
      <c r="L45" s="106">
        <f t="shared" si="49"/>
        <v>0.17987508674531583</v>
      </c>
      <c r="M45" s="106">
        <f t="shared" si="49"/>
        <v>7.0491904204888156E-2</v>
      </c>
      <c r="N45" s="106">
        <f t="shared" si="49"/>
        <v>0.20216094940072038</v>
      </c>
      <c r="O45" s="106">
        <f t="shared" si="49"/>
        <v>0.32503334815473539</v>
      </c>
      <c r="P45" s="106"/>
      <c r="Q45" s="106"/>
      <c r="R45" s="106"/>
      <c r="S45" s="106"/>
      <c r="T45" s="106">
        <f t="shared" ref="T45:AE45" si="50">IFERROR(T44/P44-1,"n/a")</f>
        <v>8.2189808467975523E-2</v>
      </c>
      <c r="U45" s="106">
        <f t="shared" si="50"/>
        <v>4.5700567447728435E-3</v>
      </c>
      <c r="V45" s="106">
        <f t="shared" si="50"/>
        <v>-4.8443385002918116E-2</v>
      </c>
      <c r="W45" s="106">
        <f t="shared" si="50"/>
        <v>-6.0072755730915639E-2</v>
      </c>
      <c r="X45" s="106">
        <f t="shared" si="50"/>
        <v>1.8070001610692277E-2</v>
      </c>
      <c r="Y45" s="106">
        <f t="shared" si="50"/>
        <v>7.4167963085252087E-2</v>
      </c>
      <c r="Z45" s="106">
        <f t="shared" si="50"/>
        <v>0.15365375660516101</v>
      </c>
      <c r="AA45" s="106">
        <f t="shared" si="50"/>
        <v>0.18425802383384782</v>
      </c>
      <c r="AB45" s="106">
        <f t="shared" si="50"/>
        <v>0.2093541741866336</v>
      </c>
      <c r="AC45" s="106">
        <f t="shared" ref="AC45" si="51">IFERROR(AC44/Y44-1,"n/a")</f>
        <v>0.18871665710417806</v>
      </c>
      <c r="AD45" s="106">
        <f t="shared" ref="AD45" si="52">IFERROR(AD44/Z44-1,"n/a")</f>
        <v>0.2033794306971024</v>
      </c>
      <c r="AE45" s="106">
        <f t="shared" si="50"/>
        <v>0.15280723678053909</v>
      </c>
      <c r="AH45" s="164">
        <f>IFERROR(AH44/AG44-1,"n/a")</f>
        <v>0.264795823233265</v>
      </c>
      <c r="AI45" s="164">
        <f>IFERROR(AI44/AH44-1,"n/a")</f>
        <v>0.20256225029853603</v>
      </c>
      <c r="AJ45" s="164"/>
      <c r="AK45" s="164">
        <f>IFERROR(AK44/AJ44-1,"n/a")</f>
        <v>-1.0241165861572088E-2</v>
      </c>
      <c r="AL45" s="164">
        <f>IFERROR(AL44/AK44-1,"n/a")</f>
        <v>0.10989936726826555</v>
      </c>
      <c r="AM45" s="164">
        <f>IFERROR(AM44/AL44-1,"n/a")</f>
        <v>0.18634063333852446</v>
      </c>
    </row>
    <row r="46" spans="2:39" x14ac:dyDescent="0.2">
      <c r="B46" s="101" t="s">
        <v>257</v>
      </c>
      <c r="E46" s="106">
        <f>IFERROR(E44/D44-1,"n/a")</f>
        <v>0.10241120041483009</v>
      </c>
      <c r="F46" s="106">
        <f t="shared" ref="F46:AE46" si="53">IFERROR(F44/E44-1,"n/a")</f>
        <v>2.9005957980558161E-2</v>
      </c>
      <c r="G46" s="106">
        <f t="shared" si="53"/>
        <v>0.23243943318604288</v>
      </c>
      <c r="H46" s="106">
        <f t="shared" si="53"/>
        <v>-0.10922915250046361</v>
      </c>
      <c r="I46" s="106">
        <f t="shared" si="53"/>
        <v>0.12720333102012482</v>
      </c>
      <c r="J46" s="106">
        <f t="shared" si="53"/>
        <v>4.2726097395801244E-2</v>
      </c>
      <c r="K46" s="106">
        <f t="shared" si="53"/>
        <v>0.19507586939835853</v>
      </c>
      <c r="L46" s="106">
        <f t="shared" si="53"/>
        <v>-0.16002173805642017</v>
      </c>
      <c r="M46" s="106">
        <f t="shared" si="53"/>
        <v>2.2703211386895683E-2</v>
      </c>
      <c r="N46" s="106">
        <f t="shared" si="53"/>
        <v>0.17097998619737753</v>
      </c>
      <c r="O46" s="106">
        <f t="shared" si="53"/>
        <v>0.31722410490643882</v>
      </c>
      <c r="P46" s="106"/>
      <c r="Q46" s="106">
        <f t="shared" si="53"/>
        <v>0.11060340375794686</v>
      </c>
      <c r="R46" s="106">
        <f t="shared" si="53"/>
        <v>1.5238416381574416E-2</v>
      </c>
      <c r="S46" s="106">
        <f t="shared" si="53"/>
        <v>0.17121292603193972</v>
      </c>
      <c r="T46" s="106">
        <f t="shared" si="53"/>
        <v>-0.18051588477573677</v>
      </c>
      <c r="U46" s="106">
        <f t="shared" si="53"/>
        <v>3.0945695111925353E-2</v>
      </c>
      <c r="V46" s="106">
        <f t="shared" si="53"/>
        <v>-3.8338018915796579E-2</v>
      </c>
      <c r="W46" s="106">
        <f t="shared" si="53"/>
        <v>0.15689904380614084</v>
      </c>
      <c r="X46" s="106">
        <f t="shared" si="53"/>
        <v>-0.1123864111896522</v>
      </c>
      <c r="Y46" s="106">
        <f t="shared" si="53"/>
        <v>8.775313644233762E-2</v>
      </c>
      <c r="Z46" s="106">
        <f t="shared" si="53"/>
        <v>3.2822607998505671E-2</v>
      </c>
      <c r="AA46" s="106">
        <f t="shared" si="53"/>
        <v>0.18758940240857291</v>
      </c>
      <c r="AB46" s="106">
        <f t="shared" si="53"/>
        <v>-9.3576587965616742E-2</v>
      </c>
      <c r="AC46" s="106">
        <f t="shared" ref="AC46" si="54">IFERROR(AC44/AB44-1,"n/a")</f>
        <v>6.9190729817395713E-2</v>
      </c>
      <c r="AD46" s="106">
        <f t="shared" ref="AD46" si="55">IFERROR(AD44/AC44-1,"n/a")</f>
        <v>4.5562434577219424E-2</v>
      </c>
      <c r="AE46" s="106">
        <f t="shared" si="53"/>
        <v>0.13768078670531891</v>
      </c>
    </row>
    <row r="47" spans="2:39" x14ac:dyDescent="0.2">
      <c r="B47" s="101" t="s">
        <v>549</v>
      </c>
      <c r="E47" s="106"/>
      <c r="F47" s="106"/>
      <c r="G47" s="106"/>
      <c r="H47" s="106">
        <f>+IFERROR(H44/H$51,"n/a")</f>
        <v>0.95576042979372555</v>
      </c>
      <c r="I47" s="106">
        <f t="shared" ref="I47:AM47" si="56">+IFERROR(I44/I$51,"n/a")</f>
        <v>0.96192111808598835</v>
      </c>
      <c r="J47" s="106">
        <f t="shared" si="56"/>
        <v>0.95949467482438255</v>
      </c>
      <c r="K47" s="106">
        <f t="shared" si="56"/>
        <v>0.96010814913196096</v>
      </c>
      <c r="L47" s="106">
        <f t="shared" si="56"/>
        <v>0.95856119975193099</v>
      </c>
      <c r="M47" s="106">
        <f t="shared" si="56"/>
        <v>0.93048643441965007</v>
      </c>
      <c r="N47" s="106">
        <f t="shared" si="56"/>
        <v>0.94834653004191893</v>
      </c>
      <c r="O47" s="106">
        <f t="shared" si="56"/>
        <v>0.9554003989740667</v>
      </c>
      <c r="P47" s="106">
        <f t="shared" si="56"/>
        <v>0.92484132042820599</v>
      </c>
      <c r="Q47" s="106">
        <f t="shared" si="56"/>
        <v>0.92447877829692049</v>
      </c>
      <c r="R47" s="106">
        <f t="shared" si="56"/>
        <v>0.9407340353462792</v>
      </c>
      <c r="S47" s="106">
        <f t="shared" si="56"/>
        <v>0.9492802114917378</v>
      </c>
      <c r="T47" s="106">
        <f t="shared" si="56"/>
        <v>0.93856048966054917</v>
      </c>
      <c r="U47" s="106">
        <f t="shared" si="56"/>
        <v>0.93692031952066901</v>
      </c>
      <c r="V47" s="106">
        <f t="shared" si="56"/>
        <v>0.93702247063779076</v>
      </c>
      <c r="W47" s="106">
        <f t="shared" si="56"/>
        <v>0.93403064368328748</v>
      </c>
      <c r="X47" s="106">
        <f t="shared" si="56"/>
        <v>0.93093593829583687</v>
      </c>
      <c r="Y47" s="106">
        <f t="shared" si="56"/>
        <v>0.90648904658758145</v>
      </c>
      <c r="Z47" s="106">
        <f t="shared" si="56"/>
        <v>0.87737421532876625</v>
      </c>
      <c r="AA47" s="106">
        <f t="shared" si="56"/>
        <v>0.88700798008385928</v>
      </c>
      <c r="AB47" s="106">
        <f t="shared" si="56"/>
        <v>0.88463685434514772</v>
      </c>
      <c r="AC47" s="106">
        <f t="shared" ref="AC47:AD47" si="57">+IFERROR(AC44/AC$51,"n/a")</f>
        <v>0.88251640793753494</v>
      </c>
      <c r="AD47" s="106">
        <f t="shared" si="57"/>
        <v>0.8882167016617708</v>
      </c>
      <c r="AE47" s="106">
        <f t="shared" si="56"/>
        <v>0.87552932236602987</v>
      </c>
      <c r="AG47" s="106">
        <f t="shared" si="56"/>
        <v>0.96045703642680613</v>
      </c>
      <c r="AH47" s="106">
        <f t="shared" si="56"/>
        <v>0.95946079748787072</v>
      </c>
      <c r="AI47" s="106">
        <f t="shared" si="56"/>
        <v>0.94887513668194401</v>
      </c>
      <c r="AJ47" s="106">
        <f t="shared" si="56"/>
        <v>0.93563924055999792</v>
      </c>
      <c r="AK47" s="106">
        <f t="shared" si="56"/>
        <v>0.93654006123026523</v>
      </c>
      <c r="AL47" s="106">
        <f t="shared" si="56"/>
        <v>0.89851817258582223</v>
      </c>
      <c r="AM47" s="106">
        <f t="shared" si="56"/>
        <v>0.88240196183337649</v>
      </c>
    </row>
    <row r="49" spans="2:39" x14ac:dyDescent="0.2">
      <c r="B49" t="s">
        <v>555</v>
      </c>
      <c r="D49" s="64">
        <f t="shared" ref="D49:O49" si="58">+D12</f>
        <v>395</v>
      </c>
      <c r="E49" s="64">
        <f t="shared" si="58"/>
        <v>475</v>
      </c>
      <c r="F49" s="64">
        <f t="shared" si="58"/>
        <v>601</v>
      </c>
      <c r="G49" s="64">
        <f t="shared" si="58"/>
        <v>737</v>
      </c>
      <c r="H49" s="64">
        <f t="shared" si="58"/>
        <v>667</v>
      </c>
      <c r="I49" s="64">
        <f t="shared" si="58"/>
        <v>643</v>
      </c>
      <c r="J49" s="64">
        <f t="shared" si="58"/>
        <v>715</v>
      </c>
      <c r="K49" s="64">
        <f t="shared" si="58"/>
        <v>841</v>
      </c>
      <c r="L49" s="64">
        <f t="shared" si="58"/>
        <v>735</v>
      </c>
      <c r="M49" s="64">
        <f t="shared" si="58"/>
        <v>1299</v>
      </c>
      <c r="N49" s="64">
        <f t="shared" si="58"/>
        <v>1109</v>
      </c>
      <c r="O49" s="64">
        <f t="shared" si="58"/>
        <v>1252</v>
      </c>
      <c r="P49" s="64">
        <f>+P17</f>
        <v>1966.9778030734208</v>
      </c>
      <c r="Q49" s="64">
        <f t="shared" ref="Q49:AE49" si="59">+Q17</f>
        <v>2195.9305634604439</v>
      </c>
      <c r="R49" s="64">
        <f t="shared" si="59"/>
        <v>1719.3056346044393</v>
      </c>
      <c r="S49" s="64">
        <f t="shared" si="59"/>
        <v>1707.785998861696</v>
      </c>
      <c r="T49" s="64">
        <f t="shared" si="59"/>
        <v>1714.6538545533958</v>
      </c>
      <c r="U49" s="64">
        <f t="shared" si="59"/>
        <v>1818.0825507752784</v>
      </c>
      <c r="V49" s="64">
        <f t="shared" si="59"/>
        <v>1745.3592487442672</v>
      </c>
      <c r="W49" s="64">
        <f t="shared" si="59"/>
        <v>2121.9043459270583</v>
      </c>
      <c r="X49" s="64">
        <f t="shared" si="59"/>
        <v>1978.3400475157523</v>
      </c>
      <c r="Y49" s="64">
        <f t="shared" si="59"/>
        <v>2992.2569982439832</v>
      </c>
      <c r="Z49" s="64">
        <f t="shared" si="59"/>
        <v>4187.180043383948</v>
      </c>
      <c r="AA49" s="64">
        <f t="shared" si="59"/>
        <v>4532.222910856316</v>
      </c>
      <c r="AB49" s="64">
        <f t="shared" si="59"/>
        <v>4205.5634748476396</v>
      </c>
      <c r="AC49" s="64">
        <f t="shared" ref="AC49:AD49" si="60">+AC17</f>
        <v>4590.2014254725746</v>
      </c>
      <c r="AD49" s="64">
        <f t="shared" si="60"/>
        <v>4537.1722962503873</v>
      </c>
      <c r="AE49" s="64">
        <f t="shared" si="59"/>
        <v>5831.0137948300562</v>
      </c>
      <c r="AG49" s="64">
        <f>+SUM(D49:G49)</f>
        <v>2208</v>
      </c>
      <c r="AH49" s="64">
        <f>+SUM(H49:K49)</f>
        <v>2866</v>
      </c>
      <c r="AI49" s="64">
        <f>+SUM(L49:O49)</f>
        <v>4395</v>
      </c>
      <c r="AJ49" s="64">
        <f>+SUM(P49:S49)</f>
        <v>7590</v>
      </c>
      <c r="AK49" s="64">
        <f>+SUM(T49:W49)</f>
        <v>7400</v>
      </c>
      <c r="AL49" s="64">
        <f>+SUM(X49:AA49)</f>
        <v>13690</v>
      </c>
      <c r="AM49" s="64">
        <f>+SUM(AB49:AE49)</f>
        <v>19163.950991400656</v>
      </c>
    </row>
    <row r="50" spans="2:39" ht="13.5" x14ac:dyDescent="0.35">
      <c r="B50" t="s">
        <v>561</v>
      </c>
      <c r="D50" s="65">
        <f>+D44</f>
        <v>11571</v>
      </c>
      <c r="E50" s="65">
        <f t="shared" ref="E50:AE50" si="61">+E44</f>
        <v>12756</v>
      </c>
      <c r="F50" s="65">
        <f t="shared" si="61"/>
        <v>13126</v>
      </c>
      <c r="G50" s="65">
        <f t="shared" si="61"/>
        <v>16177</v>
      </c>
      <c r="H50" s="65">
        <f t="shared" si="61"/>
        <v>14410</v>
      </c>
      <c r="I50" s="65">
        <f t="shared" si="61"/>
        <v>16243</v>
      </c>
      <c r="J50" s="65">
        <f t="shared" si="61"/>
        <v>16937</v>
      </c>
      <c r="K50" s="65">
        <f t="shared" si="61"/>
        <v>20241</v>
      </c>
      <c r="L50" s="65">
        <f t="shared" si="61"/>
        <v>17002</v>
      </c>
      <c r="M50" s="65">
        <f t="shared" si="61"/>
        <v>17388</v>
      </c>
      <c r="N50" s="65">
        <f t="shared" si="61"/>
        <v>20361</v>
      </c>
      <c r="O50" s="65">
        <f t="shared" si="61"/>
        <v>26820</v>
      </c>
      <c r="P50" s="65">
        <f t="shared" si="61"/>
        <v>24204.02219692658</v>
      </c>
      <c r="Q50" s="65">
        <f t="shared" si="61"/>
        <v>26881.069436539558</v>
      </c>
      <c r="R50" s="65">
        <f t="shared" si="61"/>
        <v>27290.69436539556</v>
      </c>
      <c r="S50" s="65">
        <f t="shared" si="61"/>
        <v>31963.214001138305</v>
      </c>
      <c r="T50" s="65">
        <f t="shared" si="61"/>
        <v>26193.346145446605</v>
      </c>
      <c r="U50" s="65">
        <f t="shared" si="61"/>
        <v>27003.917449224722</v>
      </c>
      <c r="V50" s="65">
        <f t="shared" si="61"/>
        <v>25968.640751255734</v>
      </c>
      <c r="W50" s="65">
        <f t="shared" si="61"/>
        <v>30043.095654072942</v>
      </c>
      <c r="X50" s="65">
        <f t="shared" si="61"/>
        <v>26666.659952484246</v>
      </c>
      <c r="Y50" s="65">
        <f t="shared" si="61"/>
        <v>29006.743001756018</v>
      </c>
      <c r="Z50" s="65">
        <f t="shared" si="61"/>
        <v>29958.819956616051</v>
      </c>
      <c r="AA50" s="65">
        <f t="shared" si="61"/>
        <v>35578.777089143681</v>
      </c>
      <c r="AB50" s="65">
        <f t="shared" si="61"/>
        <v>32249.43652515236</v>
      </c>
      <c r="AC50" s="65">
        <f t="shared" ref="AC50:AD50" si="62">+AC44</f>
        <v>34480.798574527427</v>
      </c>
      <c r="AD50" s="65">
        <f t="shared" si="62"/>
        <v>36051.827703749615</v>
      </c>
      <c r="AE50" s="65">
        <f t="shared" si="61"/>
        <v>41015.471704166477</v>
      </c>
      <c r="AG50" s="65">
        <f>+SUM(D50:G50)</f>
        <v>53630</v>
      </c>
      <c r="AH50" s="65">
        <f>+SUM(H50:K50)</f>
        <v>67831</v>
      </c>
      <c r="AI50" s="65">
        <f>+SUM(L50:O50)</f>
        <v>81571</v>
      </c>
      <c r="AJ50" s="65">
        <f>+SUM(P50:S50)</f>
        <v>110339</v>
      </c>
      <c r="AK50" s="65">
        <f>+SUM(T50:W50)</f>
        <v>109209</v>
      </c>
      <c r="AL50" s="65">
        <f>+SUM(X50:AA50)</f>
        <v>121211</v>
      </c>
      <c r="AM50" s="65">
        <f>+SUM(AB50:AE50)</f>
        <v>143797.53450759588</v>
      </c>
    </row>
    <row r="51" spans="2:39" s="44" customFormat="1" x14ac:dyDescent="0.2">
      <c r="B51" s="110" t="s">
        <v>248</v>
      </c>
      <c r="D51" s="111">
        <f>+D42</f>
        <v>11966</v>
      </c>
      <c r="E51" s="111">
        <f t="shared" ref="E51:AE51" si="63">+E42</f>
        <v>13231</v>
      </c>
      <c r="F51" s="111">
        <f t="shared" si="63"/>
        <v>13727</v>
      </c>
      <c r="G51" s="111">
        <f t="shared" si="63"/>
        <v>16914</v>
      </c>
      <c r="H51" s="111">
        <f t="shared" si="63"/>
        <v>15077</v>
      </c>
      <c r="I51" s="111">
        <f t="shared" si="63"/>
        <v>16886</v>
      </c>
      <c r="J51" s="111">
        <f t="shared" si="63"/>
        <v>17652</v>
      </c>
      <c r="K51" s="111">
        <f t="shared" si="63"/>
        <v>21082</v>
      </c>
      <c r="L51" s="111">
        <f t="shared" si="63"/>
        <v>17737</v>
      </c>
      <c r="M51" s="111">
        <f t="shared" si="63"/>
        <v>18687</v>
      </c>
      <c r="N51" s="111">
        <f t="shared" si="63"/>
        <v>21470</v>
      </c>
      <c r="O51" s="111">
        <f t="shared" si="63"/>
        <v>28072</v>
      </c>
      <c r="P51" s="111">
        <f t="shared" si="63"/>
        <v>26171</v>
      </c>
      <c r="Q51" s="111">
        <f t="shared" si="63"/>
        <v>29077</v>
      </c>
      <c r="R51" s="111">
        <f t="shared" si="63"/>
        <v>29010</v>
      </c>
      <c r="S51" s="111">
        <f t="shared" si="63"/>
        <v>33671</v>
      </c>
      <c r="T51" s="111">
        <f t="shared" si="63"/>
        <v>27908</v>
      </c>
      <c r="U51" s="111">
        <f t="shared" si="63"/>
        <v>28822</v>
      </c>
      <c r="V51" s="111">
        <f t="shared" si="63"/>
        <v>27714</v>
      </c>
      <c r="W51" s="111">
        <f t="shared" si="63"/>
        <v>32165</v>
      </c>
      <c r="X51" s="111">
        <f t="shared" si="63"/>
        <v>28645</v>
      </c>
      <c r="Y51" s="111">
        <f t="shared" si="63"/>
        <v>31999</v>
      </c>
      <c r="Z51" s="111">
        <f t="shared" si="63"/>
        <v>34146</v>
      </c>
      <c r="AA51" s="111">
        <f t="shared" si="63"/>
        <v>40111</v>
      </c>
      <c r="AB51" s="111">
        <f t="shared" si="63"/>
        <v>36455</v>
      </c>
      <c r="AC51" s="111">
        <f t="shared" ref="AC51:AD51" si="64">+AC42</f>
        <v>39071</v>
      </c>
      <c r="AD51" s="111">
        <f t="shared" si="64"/>
        <v>40589</v>
      </c>
      <c r="AE51" s="111">
        <f t="shared" si="63"/>
        <v>46846.485498996532</v>
      </c>
      <c r="AG51" s="111">
        <f>+SUM(D51:G51)</f>
        <v>55838</v>
      </c>
      <c r="AH51" s="111">
        <f>+SUM(H51:K51)</f>
        <v>70697</v>
      </c>
      <c r="AI51" s="111">
        <f>+SUM(L51:O51)</f>
        <v>85966</v>
      </c>
      <c r="AJ51" s="111">
        <f>+SUM(P51:S51)</f>
        <v>117929</v>
      </c>
      <c r="AK51" s="111">
        <f>+SUM(T51:W51)</f>
        <v>116609</v>
      </c>
      <c r="AL51" s="111">
        <f>+SUM(X51:AA51)</f>
        <v>134901</v>
      </c>
      <c r="AM51" s="111">
        <f>+SUM(AB51:AE51)</f>
        <v>162961.48549899654</v>
      </c>
    </row>
    <row r="52" spans="2:39" x14ac:dyDescent="0.2">
      <c r="B52" s="101" t="s">
        <v>17</v>
      </c>
      <c r="H52" s="106">
        <f>IFERROR(H51/D51-1,"n/a")</f>
        <v>0.25998662878154777</v>
      </c>
      <c r="I52" s="106">
        <f t="shared" ref="I52:AE52" si="65">IFERROR(I51/E51-1,"n/a")</f>
        <v>0.2762451817700855</v>
      </c>
      <c r="J52" s="106">
        <f t="shared" si="65"/>
        <v>0.2859328331026445</v>
      </c>
      <c r="K52" s="106">
        <f t="shared" si="65"/>
        <v>0.2464230814709707</v>
      </c>
      <c r="L52" s="106">
        <f t="shared" si="65"/>
        <v>0.17642767128739134</v>
      </c>
      <c r="M52" s="106">
        <f t="shared" si="65"/>
        <v>0.10665640175293145</v>
      </c>
      <c r="N52" s="106">
        <f t="shared" si="65"/>
        <v>0.21629277135735325</v>
      </c>
      <c r="O52" s="106">
        <f t="shared" si="65"/>
        <v>0.33156247035385644</v>
      </c>
      <c r="P52" s="106">
        <f t="shared" si="65"/>
        <v>0.47550318543158365</v>
      </c>
      <c r="Q52" s="106">
        <f t="shared" si="65"/>
        <v>0.5560014983678494</v>
      </c>
      <c r="R52" s="106">
        <f t="shared" si="65"/>
        <v>0.35118770377270603</v>
      </c>
      <c r="S52" s="106">
        <f t="shared" si="65"/>
        <v>0.19945141065830718</v>
      </c>
      <c r="T52" s="106">
        <f t="shared" si="65"/>
        <v>6.6371174200450911E-2</v>
      </c>
      <c r="U52" s="106">
        <f t="shared" si="65"/>
        <v>-8.7698180692643568E-3</v>
      </c>
      <c r="V52" s="106">
        <f t="shared" si="65"/>
        <v>-4.4674250258531556E-2</v>
      </c>
      <c r="W52" s="106">
        <f t="shared" si="65"/>
        <v>-4.4726916337501144E-2</v>
      </c>
      <c r="X52" s="106">
        <f t="shared" si="65"/>
        <v>2.6408198366060009E-2</v>
      </c>
      <c r="Y52" s="106">
        <f t="shared" si="65"/>
        <v>0.11022829782804799</v>
      </c>
      <c r="Z52" s="106">
        <f t="shared" si="65"/>
        <v>0.23208486685429741</v>
      </c>
      <c r="AA52" s="106">
        <f t="shared" si="65"/>
        <v>0.24703870666873939</v>
      </c>
      <c r="AB52" s="106">
        <f t="shared" si="65"/>
        <v>0.27264793157619138</v>
      </c>
      <c r="AC52" s="106">
        <f t="shared" ref="AC52" si="66">IFERROR(AC51/Y51-1,"n/a")</f>
        <v>0.2210069064658271</v>
      </c>
      <c r="AD52" s="106">
        <f t="shared" ref="AD52" si="67">IFERROR(AD51/Z51-1,"n/a")</f>
        <v>0.18868974404029748</v>
      </c>
      <c r="AE52" s="106">
        <f t="shared" si="65"/>
        <v>0.16792115626627435</v>
      </c>
      <c r="AH52" s="164">
        <f t="shared" ref="AH52:AM52" si="68">IFERROR(AH51/AG51-1,"n/a")</f>
        <v>0.26610910132884413</v>
      </c>
      <c r="AI52" s="164">
        <f t="shared" si="68"/>
        <v>0.21597804715900248</v>
      </c>
      <c r="AJ52" s="164">
        <f t="shared" si="68"/>
        <v>0.37180978526394148</v>
      </c>
      <c r="AK52" s="164">
        <f t="shared" si="68"/>
        <v>-1.1193175554782941E-2</v>
      </c>
      <c r="AL52" s="164">
        <f t="shared" si="68"/>
        <v>0.15686610810486323</v>
      </c>
      <c r="AM52" s="164">
        <f t="shared" si="68"/>
        <v>0.20800798733142489</v>
      </c>
    </row>
    <row r="53" spans="2:39" x14ac:dyDescent="0.2">
      <c r="B53" s="101" t="s">
        <v>18</v>
      </c>
      <c r="H53" s="119">
        <v>0.30202239679090748</v>
      </c>
      <c r="I53" s="119">
        <v>0.31962814602070888</v>
      </c>
      <c r="J53" s="119">
        <v>0.30756902455015656</v>
      </c>
      <c r="K53" s="119">
        <v>0.26386425446375794</v>
      </c>
      <c r="L53" s="119">
        <v>0.19466737414605029</v>
      </c>
      <c r="M53" s="119">
        <v>0.1242449366338978</v>
      </c>
      <c r="N53" s="119">
        <v>0.20983457965103103</v>
      </c>
      <c r="O53" s="119">
        <v>0.31548240204914135</v>
      </c>
      <c r="P53" s="119">
        <v>0.4356993854654112</v>
      </c>
      <c r="Q53" s="119">
        <v>0.50345159736715361</v>
      </c>
      <c r="R53" s="119">
        <v>0.339124359571495</v>
      </c>
      <c r="S53" s="119">
        <v>0.21038757480763759</v>
      </c>
      <c r="T53" s="119">
        <v>0.10049291200183408</v>
      </c>
      <c r="U53" s="119">
        <v>3.4666574956150997E-2</v>
      </c>
      <c r="V53" s="119">
        <v>1.6994139951740816E-2</v>
      </c>
      <c r="W53" s="119">
        <v>1.5027768703038236E-2</v>
      </c>
      <c r="X53" s="119">
        <v>5.5647126272036607E-2</v>
      </c>
      <c r="Y53" s="119">
        <v>0.11973492471029079</v>
      </c>
      <c r="Z53" s="119">
        <v>0.20873926535325116</v>
      </c>
      <c r="AA53" s="119">
        <v>0.22166951655526201</v>
      </c>
      <c r="AB53" s="119">
        <v>0.26894746028975391</v>
      </c>
      <c r="AC53" s="119">
        <v>0.23260101878183703</v>
      </c>
      <c r="AD53" s="119">
        <v>0.2046213319276049</v>
      </c>
      <c r="AE53" s="287">
        <f>_xll.VAData("META_US",AE1,"Revenue - Constant currency growth","consensus.vaactuals")/100</f>
        <v>0.207898082820174</v>
      </c>
      <c r="AH53" s="164">
        <f>+'[4]Historical Financials'!BY11</f>
        <v>0.29599914037035702</v>
      </c>
      <c r="AI53" s="164">
        <f>+'[4]Historical Financials'!BZ11</f>
        <v>0.21766128690043418</v>
      </c>
      <c r="AJ53" s="164">
        <f>+'[4]Historical Financials'!CA11</f>
        <v>0.35273247562990018</v>
      </c>
      <c r="AK53" s="164">
        <f>+'[4]Historical Financials'!CB11</f>
        <v>3.9320268975400419E-2</v>
      </c>
      <c r="AL53" s="287">
        <f>+SUMPRODUCT(X53:AA53,T51:W51)/AK51</f>
        <v>0.15366738416417261</v>
      </c>
      <c r="AM53" s="287">
        <f>+SUMPRODUCT(AB53:AE53,X51:AA51)/AL51</f>
        <v>0.22589157975107671</v>
      </c>
    </row>
    <row r="54" spans="2:39" x14ac:dyDescent="0.2">
      <c r="B54" s="101" t="s">
        <v>257</v>
      </c>
      <c r="E54" s="106">
        <f>IFERROR(E51/D51-1,"n/a")</f>
        <v>0.10571619588835035</v>
      </c>
      <c r="F54" s="106">
        <f t="shared" ref="F54:AE54" si="69">IFERROR(F51/E51-1,"n/a")</f>
        <v>3.7487718237472656E-2</v>
      </c>
      <c r="G54" s="106">
        <f t="shared" si="69"/>
        <v>0.23217017556640207</v>
      </c>
      <c r="H54" s="106">
        <f t="shared" si="69"/>
        <v>-0.10860825351779591</v>
      </c>
      <c r="I54" s="106">
        <f t="shared" si="69"/>
        <v>0.11998408171386887</v>
      </c>
      <c r="J54" s="106">
        <f t="shared" si="69"/>
        <v>4.536302262229075E-2</v>
      </c>
      <c r="K54" s="106">
        <f t="shared" si="69"/>
        <v>0.19431225923408113</v>
      </c>
      <c r="L54" s="106">
        <f t="shared" si="69"/>
        <v>-0.15866616070581541</v>
      </c>
      <c r="M54" s="106">
        <f t="shared" si="69"/>
        <v>5.3560354062130111E-2</v>
      </c>
      <c r="N54" s="106">
        <f t="shared" si="69"/>
        <v>0.14892706159362112</v>
      </c>
      <c r="O54" s="106">
        <f t="shared" si="69"/>
        <v>0.3074988355845365</v>
      </c>
      <c r="P54" s="106">
        <f t="shared" si="69"/>
        <v>-6.7718723282986559E-2</v>
      </c>
      <c r="Q54" s="106">
        <f t="shared" si="69"/>
        <v>0.11103893622712158</v>
      </c>
      <c r="R54" s="106">
        <f t="shared" si="69"/>
        <v>-2.3042267083949186E-3</v>
      </c>
      <c r="S54" s="106">
        <f t="shared" si="69"/>
        <v>0.16066873491899347</v>
      </c>
      <c r="T54" s="106">
        <f t="shared" si="69"/>
        <v>-0.1711561878174096</v>
      </c>
      <c r="U54" s="106">
        <f t="shared" si="69"/>
        <v>3.2750465816253405E-2</v>
      </c>
      <c r="V54" s="106">
        <f t="shared" si="69"/>
        <v>-3.8442856151550853E-2</v>
      </c>
      <c r="W54" s="106">
        <f t="shared" si="69"/>
        <v>0.1606047485025619</v>
      </c>
      <c r="X54" s="106">
        <f t="shared" si="69"/>
        <v>-0.10943572205813767</v>
      </c>
      <c r="Y54" s="106">
        <f t="shared" si="69"/>
        <v>0.1170884971199162</v>
      </c>
      <c r="Z54" s="106">
        <f t="shared" si="69"/>
        <v>6.7095846745210741E-2</v>
      </c>
      <c r="AA54" s="106">
        <f t="shared" si="69"/>
        <v>0.17469103262461205</v>
      </c>
      <c r="AB54" s="106">
        <f t="shared" si="69"/>
        <v>-9.1147066889382011E-2</v>
      </c>
      <c r="AC54" s="106">
        <f t="shared" si="69"/>
        <v>7.1759703744342263E-2</v>
      </c>
      <c r="AD54" s="106">
        <f t="shared" si="69"/>
        <v>3.8852345729569304E-2</v>
      </c>
      <c r="AE54" s="106">
        <f t="shared" si="69"/>
        <v>0.15416702798779314</v>
      </c>
    </row>
  </sheetData>
  <pageMargins left="0.3" right="0.3" top="0.3" bottom="0.3" header="0.3" footer="0.3"/>
  <pageSetup scale="75"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B54F80F9326D4AB5846AC1C3383526" ma:contentTypeVersion="18" ma:contentTypeDescription="Create a new document." ma:contentTypeScope="" ma:versionID="a429a91d62400243b3cba045310d747f">
  <xsd:schema xmlns:xsd="http://www.w3.org/2001/XMLSchema" xmlns:xs="http://www.w3.org/2001/XMLSchema" xmlns:p="http://schemas.microsoft.com/office/2006/metadata/properties" xmlns:ns2="700f816a-2d70-48f7-98b4-aa062cbdb163" xmlns:ns3="684023ab-f3fa-4f75-8c85-aad38775666c" targetNamespace="http://schemas.microsoft.com/office/2006/metadata/properties" ma:root="true" ma:fieldsID="9fd41046c3a9fbdd1121c909508001eb" ns2:_="" ns3:_="">
    <xsd:import namespace="700f816a-2d70-48f7-98b4-aa062cbdb163"/>
    <xsd:import namespace="684023ab-f3fa-4f75-8c85-aad3877566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f816a-2d70-48f7-98b4-aa062cbdb1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ceb9303-a7f0-4f8a-8c8a-ed661295ba0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4023ab-f3fa-4f75-8c85-aad38775666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493c1c2-3348-4bb2-9cf0-bfee56a9355e}" ma:internalName="TaxCatchAll" ma:showField="CatchAllData" ma:web="684023ab-f3fa-4f75-8c85-aad3877566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84023ab-f3fa-4f75-8c85-aad38775666c" xsi:nil="true"/>
    <lcf76f155ced4ddcb4097134ff3c332f xmlns="700f816a-2d70-48f7-98b4-aa062cbdb16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E215027-8B5B-4BEF-8DB3-0F6F9C5352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f816a-2d70-48f7-98b4-aa062cbdb163"/>
    <ds:schemaRef ds:uri="684023ab-f3fa-4f75-8c85-aad3877566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A6A463-3D5D-48A9-BC49-7FC72BCCA560}">
  <ds:schemaRefs>
    <ds:schemaRef ds:uri="http://schemas.microsoft.com/sharepoint/v3/contenttype/forms"/>
  </ds:schemaRefs>
</ds:datastoreItem>
</file>

<file path=customXml/itemProps3.xml><?xml version="1.0" encoding="utf-8"?>
<ds:datastoreItem xmlns:ds="http://schemas.openxmlformats.org/officeDocument/2006/customXml" ds:itemID="{84A75640-F5E2-4F1A-B2E7-E92656A15615}">
  <ds:schemaRefs>
    <ds:schemaRef ds:uri="http://purl.org/dc/elements/1.1/"/>
    <ds:schemaRef ds:uri="http://purl.org/dc/terms/"/>
    <ds:schemaRef ds:uri="http://purl.org/dc/dcmitype/"/>
    <ds:schemaRef ds:uri="684023ab-f3fa-4f75-8c85-aad38775666c"/>
    <ds:schemaRef ds:uri="700f816a-2d70-48f7-98b4-aa062cbdb163"/>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Simple Model - Case 1</vt:lpstr>
      <vt:lpstr>Simple Model - Case 2</vt:lpstr>
      <vt:lpstr>Simple Model - Case 3</vt:lpstr>
      <vt:lpstr>LT Revenue Forecast</vt:lpstr>
      <vt:lpstr>Historical Financials</vt:lpstr>
      <vt:lpstr>D&amp;A Model - Case 1</vt:lpstr>
      <vt:lpstr>Outlook Commentary</vt:lpstr>
      <vt:lpstr>D&amp;A Model - Case 2</vt:lpstr>
      <vt:lpstr>D&amp;A Model - Case 3</vt:lpstr>
      <vt:lpstr>Sheet3</vt:lpstr>
      <vt:lpstr>Sheet4</vt:lpstr>
      <vt:lpstr>Chinese Advertiser Impact</vt:lpstr>
      <vt:lpstr>'Chinese Advertiser Impact'!Print_Area</vt:lpstr>
      <vt:lpstr>'D&amp;A Model - Case 1'!Print_Area</vt:lpstr>
      <vt:lpstr>'D&amp;A Model - Case 2'!Print_Area</vt:lpstr>
      <vt:lpstr>'D&amp;A Model - Case 3'!Print_Area</vt:lpstr>
      <vt:lpstr>'Historical Financials'!Print_Area</vt:lpstr>
      <vt:lpstr>'LT Revenue Forecast'!Print_Area</vt:lpstr>
      <vt:lpstr>'Outlook Commentary'!Print_Area</vt:lpstr>
      <vt:lpstr>Sheet3!Print_Area</vt:lpstr>
      <vt:lpstr>'Simple Model - Case 1'!Print_Area</vt:lpstr>
      <vt:lpstr>'Simple Model - Case 2'!Print_Area</vt:lpstr>
      <vt:lpstr>'Simple Model - Case 3'!Print_Area</vt:lpstr>
      <vt:lpstr>'Historical Financials'!Print_Titles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Nicolau</dc:creator>
  <cp:keywords/>
  <dc:description/>
  <cp:lastModifiedBy>Alex Nicolau</cp:lastModifiedBy>
  <cp:revision/>
  <cp:lastPrinted>2024-12-10T15:14:01Z</cp:lastPrinted>
  <dcterms:created xsi:type="dcterms:W3CDTF">2020-12-24T14:45:32Z</dcterms:created>
  <dcterms:modified xsi:type="dcterms:W3CDTF">2025-05-19T20:53:57Z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0x01010097B54F80F9326D4AB5846AC1C3383526</vt:lpwstr>
  </property>
  <property fmtid="{D5CDD505-2E9C-101B-9397-08002B2CF9AE}" pid="3" name="MediaServiceImageTags">
    <vt:lpwstr/>
  </property>
  <property fmtid="{D5CDD505-2E9C-101B-9397-08002B2CF9AE}" pid="4" name="{A44787D4-0540-4523-9961-78E4036D8C6D}">
    <vt:lpwstr>{ADEBCCD7-E0BB-43FD-A567-EBD3B24E7D6B}</vt:lpwstr>
  </property>
</Properties>
</file>